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showSheetTabs="0" xWindow="240" yWindow="105" windowWidth="8175" windowHeight="7170" tabRatio="728"/>
  </bookViews>
  <sheets>
    <sheet name="Presentación" sheetId="15166" r:id="rId1"/>
    <sheet name="Planilla" sheetId="1" r:id="rId2"/>
    <sheet name="Fraccionamiento" sheetId="28" r:id="rId3"/>
    <sheet name="Somatotipo" sheetId="15160" r:id="rId4"/>
    <sheet name="Proporcionalidad" sheetId="15162" r:id="rId5"/>
    <sheet name="Índices" sheetId="15164" r:id="rId6"/>
  </sheets>
  <definedNames>
    <definedName name="_xlnm._FilterDatabase" localSheetId="3" hidden="1">Somatotipo!$D$10:$G$300</definedName>
    <definedName name="_xlnm.Print_Area" localSheetId="3">Somatotipo!$A$1:$I$323</definedName>
  </definedNames>
  <calcPr calcId="124519"/>
</workbook>
</file>

<file path=xl/calcChain.xml><?xml version="1.0" encoding="utf-8"?>
<calcChain xmlns="http://schemas.openxmlformats.org/spreadsheetml/2006/main">
  <c r="H193" i="15160"/>
  <c r="I193"/>
  <c r="H192"/>
  <c r="I192"/>
  <c r="H191"/>
  <c r="I191"/>
  <c r="H190"/>
  <c r="I190"/>
  <c r="H189"/>
  <c r="I189"/>
  <c r="H188"/>
  <c r="I188"/>
  <c r="H187"/>
  <c r="I187"/>
  <c r="H186"/>
  <c r="I186"/>
  <c r="H185"/>
  <c r="I185"/>
  <c r="H184"/>
  <c r="I184"/>
  <c r="H183"/>
  <c r="I183"/>
  <c r="H182"/>
  <c r="I182"/>
  <c r="I181"/>
  <c r="H181"/>
  <c r="H24" i="1"/>
  <c r="H25"/>
  <c r="H26"/>
  <c r="H27"/>
  <c r="H28"/>
  <c r="H29"/>
  <c r="H30"/>
  <c r="H31"/>
  <c r="H33"/>
  <c r="H34"/>
  <c r="H35"/>
  <c r="H36"/>
  <c r="H37"/>
  <c r="H38"/>
  <c r="H39"/>
  <c r="H40"/>
  <c r="H41"/>
  <c r="H42"/>
  <c r="H43"/>
  <c r="H44"/>
  <c r="H45"/>
  <c r="H47"/>
  <c r="H48"/>
  <c r="H49"/>
  <c r="H50"/>
  <c r="H51"/>
  <c r="H52"/>
  <c r="H53"/>
  <c r="H54"/>
  <c r="H55"/>
  <c r="H15"/>
  <c r="H16"/>
  <c r="H17"/>
  <c r="H18"/>
  <c r="H19"/>
  <c r="H20"/>
  <c r="H21"/>
  <c r="H22"/>
  <c r="H14"/>
  <c r="H10"/>
  <c r="H11"/>
  <c r="H12"/>
  <c r="E7" i="15162" s="1"/>
  <c r="H9" i="1"/>
  <c r="E4" i="15162" s="1"/>
  <c r="E5" i="1"/>
  <c r="I202" i="15160"/>
  <c r="I203"/>
  <c r="I204"/>
  <c r="I205"/>
  <c r="I206"/>
  <c r="I207"/>
  <c r="H202"/>
  <c r="H203"/>
  <c r="H204"/>
  <c r="H205"/>
  <c r="H206"/>
  <c r="H207"/>
  <c r="H98"/>
  <c r="I98"/>
  <c r="H97"/>
  <c r="I97"/>
  <c r="H96"/>
  <c r="I96"/>
  <c r="H95"/>
  <c r="I95"/>
  <c r="H94"/>
  <c r="I94"/>
  <c r="H93"/>
  <c r="I93"/>
  <c r="H92"/>
  <c r="I92"/>
  <c r="H91"/>
  <c r="I91"/>
  <c r="H90"/>
  <c r="I90"/>
  <c r="H89"/>
  <c r="I89"/>
  <c r="H88"/>
  <c r="I88"/>
  <c r="H87"/>
  <c r="I87"/>
  <c r="H86"/>
  <c r="I86"/>
  <c r="H85"/>
  <c r="I85"/>
  <c r="H84"/>
  <c r="I84"/>
  <c r="H83"/>
  <c r="I83"/>
  <c r="H82"/>
  <c r="I82"/>
  <c r="H81"/>
  <c r="I81"/>
  <c r="H80"/>
  <c r="I80"/>
  <c r="H79"/>
  <c r="I79"/>
  <c r="H180"/>
  <c r="I180"/>
  <c r="E28" i="15162"/>
  <c r="E34"/>
  <c r="F17" i="15164"/>
  <c r="A19" i="28"/>
  <c r="E9" s="1"/>
  <c r="E22" i="15162"/>
  <c r="G14" i="15164"/>
  <c r="G17"/>
  <c r="F20"/>
  <c r="G20" s="1"/>
  <c r="F14"/>
  <c r="F12"/>
  <c r="G12" s="1"/>
  <c r="F13"/>
  <c r="G13" s="1"/>
  <c r="F16"/>
  <c r="G7"/>
  <c r="E44" i="15162"/>
  <c r="E40"/>
  <c r="E37"/>
  <c r="E33"/>
  <c r="E26"/>
  <c r="E17"/>
  <c r="E13"/>
  <c r="E49"/>
  <c r="E47"/>
  <c r="E46"/>
  <c r="E43"/>
  <c r="E42"/>
  <c r="E39"/>
  <c r="E36"/>
  <c r="E35"/>
  <c r="E31"/>
  <c r="E30"/>
  <c r="E29"/>
  <c r="E25"/>
  <c r="E24"/>
  <c r="E23"/>
  <c r="E21"/>
  <c r="E20"/>
  <c r="E16"/>
  <c r="E15"/>
  <c r="E14"/>
  <c r="E12"/>
  <c r="E11"/>
  <c r="E10"/>
  <c r="E5"/>
  <c r="H13" i="15160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99"/>
  <c r="I99"/>
  <c r="H100"/>
  <c r="I100"/>
  <c r="H101"/>
  <c r="I101"/>
  <c r="H102"/>
  <c r="I102"/>
  <c r="H103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H113"/>
  <c r="I113"/>
  <c r="H114"/>
  <c r="I114"/>
  <c r="H115"/>
  <c r="I115"/>
  <c r="H116"/>
  <c r="I116"/>
  <c r="H117"/>
  <c r="I117"/>
  <c r="H118"/>
  <c r="I118"/>
  <c r="H119"/>
  <c r="I119"/>
  <c r="H120"/>
  <c r="I120"/>
  <c r="H121"/>
  <c r="I121"/>
  <c r="H122"/>
  <c r="I122"/>
  <c r="H123"/>
  <c r="I123"/>
  <c r="H124"/>
  <c r="I124"/>
  <c r="H125"/>
  <c r="I125"/>
  <c r="H126"/>
  <c r="I126"/>
  <c r="H127"/>
  <c r="I127"/>
  <c r="H128"/>
  <c r="I128"/>
  <c r="H129"/>
  <c r="I129"/>
  <c r="H130"/>
  <c r="I130"/>
  <c r="H131"/>
  <c r="I131"/>
  <c r="H132"/>
  <c r="I132"/>
  <c r="H133"/>
  <c r="I133"/>
  <c r="H134"/>
  <c r="I134"/>
  <c r="H135"/>
  <c r="I135"/>
  <c r="H136"/>
  <c r="I136"/>
  <c r="H137"/>
  <c r="I137"/>
  <c r="H138"/>
  <c r="I138"/>
  <c r="H139"/>
  <c r="I139"/>
  <c r="H140"/>
  <c r="I140"/>
  <c r="H141"/>
  <c r="I141"/>
  <c r="H142"/>
  <c r="I142"/>
  <c r="H143"/>
  <c r="I143"/>
  <c r="H144"/>
  <c r="I144"/>
  <c r="H145"/>
  <c r="I145"/>
  <c r="H146"/>
  <c r="I146"/>
  <c r="H147"/>
  <c r="I147"/>
  <c r="H148"/>
  <c r="I148"/>
  <c r="H149"/>
  <c r="I149"/>
  <c r="H150"/>
  <c r="I150"/>
  <c r="H151"/>
  <c r="I151"/>
  <c r="H152"/>
  <c r="I152"/>
  <c r="H153"/>
  <c r="I153"/>
  <c r="H154"/>
  <c r="I154"/>
  <c r="H155"/>
  <c r="I155"/>
  <c r="H156"/>
  <c r="I156"/>
  <c r="H157"/>
  <c r="I157"/>
  <c r="H158"/>
  <c r="I158"/>
  <c r="H159"/>
  <c r="I159"/>
  <c r="H160"/>
  <c r="I160"/>
  <c r="H161"/>
  <c r="I161"/>
  <c r="H162"/>
  <c r="I162"/>
  <c r="H163"/>
  <c r="I163"/>
  <c r="H164"/>
  <c r="I164"/>
  <c r="H165"/>
  <c r="I165"/>
  <c r="H166"/>
  <c r="I166"/>
  <c r="H167"/>
  <c r="I167"/>
  <c r="H168"/>
  <c r="I168"/>
  <c r="H169"/>
  <c r="I169"/>
  <c r="H170"/>
  <c r="I170"/>
  <c r="H171"/>
  <c r="I171"/>
  <c r="H172"/>
  <c r="I172"/>
  <c r="H173"/>
  <c r="I173"/>
  <c r="H174"/>
  <c r="I174"/>
  <c r="H175"/>
  <c r="I175"/>
  <c r="H176"/>
  <c r="I176"/>
  <c r="H177"/>
  <c r="I177"/>
  <c r="H178"/>
  <c r="I178"/>
  <c r="H179"/>
  <c r="I179"/>
  <c r="H194"/>
  <c r="I194"/>
  <c r="H195"/>
  <c r="I195"/>
  <c r="H196"/>
  <c r="I196"/>
  <c r="H197"/>
  <c r="I197"/>
  <c r="H198"/>
  <c r="I198"/>
  <c r="H199"/>
  <c r="I199"/>
  <c r="H200"/>
  <c r="I200"/>
  <c r="H201"/>
  <c r="I201"/>
  <c r="H208"/>
  <c r="I208"/>
  <c r="H209"/>
  <c r="I209"/>
  <c r="H210"/>
  <c r="I210"/>
  <c r="H211"/>
  <c r="I211"/>
  <c r="H212"/>
  <c r="I212"/>
  <c r="H213"/>
  <c r="I213"/>
  <c r="H214"/>
  <c r="I214"/>
  <c r="H215"/>
  <c r="I215"/>
  <c r="H216"/>
  <c r="I216"/>
  <c r="H217"/>
  <c r="I217"/>
  <c r="H218"/>
  <c r="I218"/>
  <c r="H219"/>
  <c r="I219"/>
  <c r="H220"/>
  <c r="I220"/>
  <c r="H221"/>
  <c r="I221"/>
  <c r="H222"/>
  <c r="I222"/>
  <c r="H224"/>
  <c r="I224"/>
  <c r="H225"/>
  <c r="I225"/>
  <c r="H226"/>
  <c r="I226"/>
  <c r="H227"/>
  <c r="I227"/>
  <c r="H228"/>
  <c r="I228"/>
  <c r="H229"/>
  <c r="I229"/>
  <c r="H230"/>
  <c r="I230"/>
  <c r="H231"/>
  <c r="I231"/>
  <c r="H232"/>
  <c r="I232"/>
  <c r="H233"/>
  <c r="I233"/>
  <c r="H234"/>
  <c r="I234"/>
  <c r="H235"/>
  <c r="I235"/>
  <c r="H236"/>
  <c r="I236"/>
  <c r="H237"/>
  <c r="I237"/>
  <c r="H238"/>
  <c r="I238"/>
  <c r="H239"/>
  <c r="I239"/>
  <c r="H240"/>
  <c r="I240"/>
  <c r="H241"/>
  <c r="I241"/>
  <c r="H242"/>
  <c r="I242"/>
  <c r="H243"/>
  <c r="I243"/>
  <c r="H244"/>
  <c r="I244"/>
  <c r="H245"/>
  <c r="I245"/>
  <c r="H246"/>
  <c r="I246"/>
  <c r="H247"/>
  <c r="I247"/>
  <c r="H248"/>
  <c r="I248"/>
  <c r="H249"/>
  <c r="I249"/>
  <c r="H250"/>
  <c r="I250"/>
  <c r="H251"/>
  <c r="I251"/>
  <c r="H252"/>
  <c r="I252"/>
  <c r="H253"/>
  <c r="I253"/>
  <c r="H254"/>
  <c r="I254"/>
  <c r="H255"/>
  <c r="I255"/>
  <c r="H256"/>
  <c r="I256"/>
  <c r="H257"/>
  <c r="I257"/>
  <c r="H258"/>
  <c r="I258"/>
  <c r="H259"/>
  <c r="I259"/>
  <c r="H260"/>
  <c r="I260"/>
  <c r="H261"/>
  <c r="I261"/>
  <c r="H262"/>
  <c r="I262"/>
  <c r="H263"/>
  <c r="I263"/>
  <c r="H264"/>
  <c r="I264"/>
  <c r="H265"/>
  <c r="I265"/>
  <c r="H266"/>
  <c r="I266"/>
  <c r="H267"/>
  <c r="I267"/>
  <c r="H268"/>
  <c r="I268"/>
  <c r="H269"/>
  <c r="I269"/>
  <c r="H270"/>
  <c r="I270"/>
  <c r="H271"/>
  <c r="I271"/>
  <c r="H272"/>
  <c r="I272"/>
  <c r="H273"/>
  <c r="I273"/>
  <c r="H274"/>
  <c r="I274"/>
  <c r="H275"/>
  <c r="I275"/>
  <c r="H276"/>
  <c r="I276"/>
  <c r="H277"/>
  <c r="I277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12"/>
  <c r="I12"/>
  <c r="I11"/>
  <c r="H11"/>
  <c r="F7" i="15164"/>
  <c r="E32" i="15162"/>
  <c r="F19" i="15164"/>
  <c r="G19" s="1"/>
  <c r="B19" i="28"/>
  <c r="B21" s="1"/>
  <c r="E10" s="1"/>
  <c r="E8" s="1"/>
  <c r="E19" i="15162"/>
  <c r="F18" i="15164"/>
  <c r="G18" s="1"/>
  <c r="E48" i="15162"/>
  <c r="F17" i="28"/>
  <c r="E50" i="15162"/>
  <c r="A11" i="15160"/>
  <c r="C4" s="1"/>
  <c r="E9" s="1"/>
  <c r="A21" i="28"/>
  <c r="A23" s="1"/>
  <c r="G4" s="1"/>
  <c r="B23"/>
  <c r="B25" s="1"/>
  <c r="E11" s="1"/>
  <c r="B27"/>
  <c r="B29" s="1"/>
  <c r="E12" s="1"/>
  <c r="C6" i="15160"/>
  <c r="F9" s="1"/>
  <c r="F11" i="15164"/>
  <c r="G11" s="1"/>
  <c r="E9" i="15162"/>
  <c r="F15" i="15164"/>
  <c r="G15" s="1"/>
  <c r="G8"/>
  <c r="G10"/>
  <c r="E6" i="15162" l="1"/>
  <c r="A12" i="15160"/>
  <c r="C8" s="1"/>
  <c r="C95" s="1"/>
  <c r="F9" i="15164"/>
  <c r="G9" s="1"/>
  <c r="A14" i="15160"/>
  <c r="C131"/>
  <c r="C71"/>
  <c r="C55"/>
  <c r="C39"/>
  <c r="C22"/>
  <c r="C203"/>
  <c r="C84"/>
  <c r="C292"/>
  <c r="C276"/>
  <c r="C260"/>
  <c r="C244"/>
  <c r="C228"/>
  <c r="C212"/>
  <c r="C176"/>
  <c r="C160"/>
  <c r="C144"/>
  <c r="C128"/>
  <c r="C112"/>
  <c r="C76"/>
  <c r="C56"/>
  <c r="C28"/>
  <c r="C93"/>
  <c r="C16"/>
  <c r="C285"/>
  <c r="C269"/>
  <c r="C253"/>
  <c r="C237"/>
  <c r="C221"/>
  <c r="C199"/>
  <c r="C169"/>
  <c r="C153"/>
  <c r="C137"/>
  <c r="C121"/>
  <c r="C105"/>
  <c r="C69"/>
  <c r="C53"/>
  <c r="C37"/>
  <c r="C20"/>
  <c r="C205"/>
  <c r="C86"/>
  <c r="C294"/>
  <c r="C278"/>
  <c r="C270"/>
  <c r="C262"/>
  <c r="C254"/>
  <c r="C246"/>
  <c r="C238"/>
  <c r="C230"/>
  <c r="C222"/>
  <c r="C214"/>
  <c r="C200"/>
  <c r="C178"/>
  <c r="C170"/>
  <c r="C162"/>
  <c r="C154"/>
  <c r="C146"/>
  <c r="C138"/>
  <c r="C130"/>
  <c r="C122"/>
  <c r="C114"/>
  <c r="C106"/>
  <c r="C78"/>
  <c r="C70"/>
  <c r="C62"/>
  <c r="C54"/>
  <c r="C46"/>
  <c r="C38"/>
  <c r="C30"/>
  <c r="C21"/>
  <c r="C14"/>
  <c r="C60"/>
  <c r="C44"/>
  <c r="C32"/>
  <c r="C15"/>
  <c r="C58"/>
  <c r="C42"/>
  <c r="C34"/>
  <c r="C18"/>
  <c r="C52"/>
  <c r="C23"/>
  <c r="G9"/>
  <c r="C202"/>
  <c r="C91"/>
  <c r="C83"/>
  <c r="C299"/>
  <c r="C291"/>
  <c r="C283"/>
  <c r="C275"/>
  <c r="C267"/>
  <c r="C259"/>
  <c r="C251"/>
  <c r="C243"/>
  <c r="C235"/>
  <c r="C227"/>
  <c r="C219"/>
  <c r="C211"/>
  <c r="C197"/>
  <c r="C175"/>
  <c r="C167"/>
  <c r="C159"/>
  <c r="C151"/>
  <c r="C143"/>
  <c r="C135"/>
  <c r="C127"/>
  <c r="C119"/>
  <c r="C111"/>
  <c r="C103"/>
  <c r="C75"/>
  <c r="C67"/>
  <c r="C59"/>
  <c r="C51"/>
  <c r="C43"/>
  <c r="C35"/>
  <c r="C26"/>
  <c r="C19"/>
  <c r="C207"/>
  <c r="C96"/>
  <c r="C88"/>
  <c r="C80"/>
  <c r="C296"/>
  <c r="C288"/>
  <c r="C280"/>
  <c r="C272"/>
  <c r="C264"/>
  <c r="C256"/>
  <c r="C248"/>
  <c r="C240"/>
  <c r="C232"/>
  <c r="C224"/>
  <c r="C216"/>
  <c r="C208"/>
  <c r="C172"/>
  <c r="C164"/>
  <c r="C156"/>
  <c r="C148"/>
  <c r="C140"/>
  <c r="C132"/>
  <c r="C124"/>
  <c r="C116"/>
  <c r="C108"/>
  <c r="C100"/>
  <c r="C72"/>
  <c r="C64"/>
  <c r="C48"/>
  <c r="C27"/>
  <c r="C12"/>
  <c r="C97"/>
  <c r="C89"/>
  <c r="C81"/>
  <c r="C297"/>
  <c r="C289"/>
  <c r="C281"/>
  <c r="C273"/>
  <c r="C265"/>
  <c r="C257"/>
  <c r="C249"/>
  <c r="C241"/>
  <c r="C233"/>
  <c r="C225"/>
  <c r="C217"/>
  <c r="C209"/>
  <c r="C195"/>
  <c r="C173"/>
  <c r="C165"/>
  <c r="C157"/>
  <c r="C149"/>
  <c r="C141"/>
  <c r="C133"/>
  <c r="C125"/>
  <c r="C117"/>
  <c r="C109"/>
  <c r="C101"/>
  <c r="C73"/>
  <c r="C65"/>
  <c r="C57"/>
  <c r="C49"/>
  <c r="C41"/>
  <c r="C33"/>
  <c r="C24"/>
  <c r="C17"/>
  <c r="H10"/>
  <c r="C98"/>
  <c r="C90"/>
  <c r="C82"/>
  <c r="C298"/>
  <c r="C290"/>
  <c r="C282"/>
  <c r="C274"/>
  <c r="C266"/>
  <c r="C258"/>
  <c r="C250"/>
  <c r="C242"/>
  <c r="C234"/>
  <c r="C226"/>
  <c r="C218"/>
  <c r="C210"/>
  <c r="C196"/>
  <c r="C174"/>
  <c r="C166"/>
  <c r="C158"/>
  <c r="C150"/>
  <c r="C142"/>
  <c r="C134"/>
  <c r="C126"/>
  <c r="C118"/>
  <c r="C110"/>
  <c r="C102"/>
  <c r="C74"/>
  <c r="C66"/>
  <c r="C50"/>
  <c r="C25"/>
  <c r="I10"/>
  <c r="C40"/>
  <c r="E7" i="28"/>
  <c r="G5" s="1"/>
  <c r="G14" s="1"/>
  <c r="F11" s="1"/>
  <c r="H9" s="1"/>
  <c r="C215" i="15160" l="1"/>
  <c r="C190"/>
  <c r="C186"/>
  <c r="C182"/>
  <c r="C193"/>
  <c r="C189"/>
  <c r="C185"/>
  <c r="C181"/>
  <c r="C107"/>
  <c r="C163"/>
  <c r="C279"/>
  <c r="C192"/>
  <c r="C188"/>
  <c r="C184"/>
  <c r="C194"/>
  <c r="C191"/>
  <c r="C187"/>
  <c r="C183"/>
  <c r="C286"/>
  <c r="C180"/>
  <c r="C94"/>
  <c r="C13"/>
  <c r="C29"/>
  <c r="C45"/>
  <c r="C61"/>
  <c r="C77"/>
  <c r="C113"/>
  <c r="C129"/>
  <c r="C145"/>
  <c r="C161"/>
  <c r="C177"/>
  <c r="C213"/>
  <c r="C229"/>
  <c r="C245"/>
  <c r="C261"/>
  <c r="C277"/>
  <c r="C293"/>
  <c r="C85"/>
  <c r="C204"/>
  <c r="C36"/>
  <c r="C68"/>
  <c r="C104"/>
  <c r="C120"/>
  <c r="C136"/>
  <c r="C152"/>
  <c r="C168"/>
  <c r="C198"/>
  <c r="C220"/>
  <c r="C236"/>
  <c r="C252"/>
  <c r="C268"/>
  <c r="C284"/>
  <c r="C300"/>
  <c r="C92"/>
  <c r="C11"/>
  <c r="C31"/>
  <c r="C47"/>
  <c r="C63"/>
  <c r="C99"/>
  <c r="C115"/>
  <c r="C147"/>
  <c r="C179"/>
  <c r="C247"/>
  <c r="C87"/>
  <c r="C123"/>
  <c r="C139"/>
  <c r="C155"/>
  <c r="C171"/>
  <c r="C201"/>
  <c r="C231"/>
  <c r="C263"/>
  <c r="C295"/>
  <c r="C206"/>
  <c r="C223"/>
  <c r="C239"/>
  <c r="C255"/>
  <c r="C271"/>
  <c r="C287"/>
  <c r="C79"/>
  <c r="A13"/>
  <c r="F7" i="28"/>
  <c r="H10" s="1"/>
  <c r="F9"/>
  <c r="F8"/>
  <c r="H8" s="1"/>
  <c r="E16"/>
  <c r="H4"/>
  <c r="H7" s="1"/>
  <c r="F16"/>
  <c r="F12"/>
  <c r="F10" i="15164" s="1"/>
  <c r="F10" i="28"/>
  <c r="H5"/>
  <c r="H14" s="1"/>
  <c r="H6" l="1"/>
  <c r="F8" i="15164"/>
</calcChain>
</file>

<file path=xl/sharedStrings.xml><?xml version="1.0" encoding="utf-8"?>
<sst xmlns="http://schemas.openxmlformats.org/spreadsheetml/2006/main" count="530" uniqueCount="457">
  <si>
    <t>Apellido y nombre</t>
  </si>
  <si>
    <t>N°</t>
  </si>
  <si>
    <t>Fecha de evaluación</t>
  </si>
  <si>
    <t>Sexo (Var, 1; Muj, 2)</t>
  </si>
  <si>
    <t>Fecha de nacimiento</t>
  </si>
  <si>
    <t>Edad</t>
  </si>
  <si>
    <t>Menstruación</t>
  </si>
  <si>
    <t>Evaluador</t>
  </si>
  <si>
    <t>Anotador</t>
  </si>
  <si>
    <t>MEDICIONES BÁSICAS</t>
  </si>
  <si>
    <t>Toma 1</t>
  </si>
  <si>
    <t>Toma 2</t>
  </si>
  <si>
    <t>Toma 3</t>
  </si>
  <si>
    <t>Promedio</t>
  </si>
  <si>
    <t>Peso corporal</t>
  </si>
  <si>
    <t>Estatura máxima</t>
  </si>
  <si>
    <t>Estatura de sentado</t>
  </si>
  <si>
    <t>Envergadura</t>
  </si>
  <si>
    <t>LONGITUDES (Altura de la caja, 40 cm)</t>
  </si>
  <si>
    <t>Brazo (Acromial-radial)</t>
  </si>
  <si>
    <t>Antebrazo (Radial-estiloidea)</t>
  </si>
  <si>
    <t>Mano (Medio estiloidea-dactilar)</t>
  </si>
  <si>
    <t>Ilioespinal-caja</t>
  </si>
  <si>
    <t>Trocantérea-caja</t>
  </si>
  <si>
    <t>Muslo (Trocantérea-tibial)</t>
  </si>
  <si>
    <t>Pierna (Tibial-caja)</t>
  </si>
  <si>
    <t>Tibia (Tibial medio-maleolar)</t>
  </si>
  <si>
    <t>Pié (Calcáneo-punta)</t>
  </si>
  <si>
    <t>DIÁMETROS</t>
  </si>
  <si>
    <t>Biacromial</t>
  </si>
  <si>
    <t>Biiliocrestídeo</t>
  </si>
  <si>
    <t>Toráxico</t>
  </si>
  <si>
    <t>Tórax antero-posterior</t>
  </si>
  <si>
    <t>Húmero</t>
  </si>
  <si>
    <t>Muñeca (bi-estiloidea)</t>
  </si>
  <si>
    <t>Fémur</t>
  </si>
  <si>
    <t>Tobillo (bi-maleolar)</t>
  </si>
  <si>
    <t>PERÍMETROS</t>
  </si>
  <si>
    <t>Brazo relajado</t>
  </si>
  <si>
    <t>Brazo flexionado</t>
  </si>
  <si>
    <t>Antebrazo</t>
  </si>
  <si>
    <t>Muñeca</t>
  </si>
  <si>
    <t>Cabeza</t>
  </si>
  <si>
    <t>Cuello</t>
  </si>
  <si>
    <t>Tórax</t>
  </si>
  <si>
    <t>Cintura</t>
  </si>
  <si>
    <t>Cadera</t>
  </si>
  <si>
    <t>Muslo (máximo)</t>
  </si>
  <si>
    <t>Muslo (medial)</t>
  </si>
  <si>
    <t>Pantorrilla</t>
  </si>
  <si>
    <t>Tobillo</t>
  </si>
  <si>
    <t>PLIEGUES</t>
  </si>
  <si>
    <t>Tríceps</t>
  </si>
  <si>
    <t>Subescapular</t>
  </si>
  <si>
    <t>Bíceps</t>
  </si>
  <si>
    <t>Axilar medial</t>
  </si>
  <si>
    <t>Cresta ilíaca</t>
  </si>
  <si>
    <t>Supraespinal</t>
  </si>
  <si>
    <t>Abdominal</t>
  </si>
  <si>
    <t>Muslo anterior</t>
  </si>
  <si>
    <t>Pantorrilla medial</t>
  </si>
  <si>
    <t>DIÁMETROS (en centímetros)</t>
  </si>
  <si>
    <t>PERÍMETROS (en centímetros)</t>
  </si>
  <si>
    <t>PLIEGUES (en milímetros)</t>
  </si>
  <si>
    <t>KG</t>
  </si>
  <si>
    <t>%</t>
  </si>
  <si>
    <t>PIEL</t>
  </si>
  <si>
    <t>M. RESIDUAL</t>
  </si>
  <si>
    <t>M. MUSCULAR</t>
  </si>
  <si>
    <t>PESO ESTRUCTURADO</t>
  </si>
  <si>
    <t>M. OSEA TOTAL</t>
  </si>
  <si>
    <t>TEJIDO ADIPOSO (Total)</t>
  </si>
  <si>
    <t>TEJIDO MAGRO (Total)</t>
  </si>
  <si>
    <t>Talla de miembros inferiores</t>
  </si>
  <si>
    <t>Z ósea cabe</t>
  </si>
  <si>
    <t>S ósea cuer</t>
  </si>
  <si>
    <t>Z ósea cuer</t>
  </si>
  <si>
    <t>S adiposo</t>
  </si>
  <si>
    <t>Z adiposo</t>
  </si>
  <si>
    <t>S muscular</t>
  </si>
  <si>
    <t>Z muscular</t>
  </si>
  <si>
    <t>S residual</t>
  </si>
  <si>
    <t>Z residual</t>
  </si>
  <si>
    <t>Kilogramos</t>
  </si>
  <si>
    <t>Piel</t>
  </si>
  <si>
    <t>SOMATOTIPO</t>
  </si>
  <si>
    <t>ENDOMORFISMO</t>
  </si>
  <si>
    <t>MESOMORFISMO</t>
  </si>
  <si>
    <t>ECTOMORFISMO</t>
  </si>
  <si>
    <t>Scores Z</t>
  </si>
  <si>
    <t>COCIENTE CINTURA-CADERA</t>
  </si>
  <si>
    <t>COCIENTE ADIPOSO-MUSCULAR</t>
  </si>
  <si>
    <t>BODY MASS INDEX</t>
  </si>
  <si>
    <t>COCIENTE MÚSCULO-HUESO</t>
  </si>
  <si>
    <t>ÍNDICE DE CONICIDAD</t>
  </si>
  <si>
    <t>I.R.E.S. (Longitud relativa de la extremidad superior)</t>
  </si>
  <si>
    <t>I.R.E.S. (Longitud relativa de la extremidad inferior)</t>
  </si>
  <si>
    <t>ÍNDICE INTERMEMBRAL</t>
  </si>
  <si>
    <t>ÍNDICE BRAQUIAL</t>
  </si>
  <si>
    <t>ÍNDICE CRURAL</t>
  </si>
  <si>
    <t>ÍNDICE CÓRMICO</t>
  </si>
  <si>
    <t>ÍNDICE ESQUELÉTICO (De Manouvrier)</t>
  </si>
  <si>
    <t>ÍNDICE ACROMIO-ILÍACO</t>
  </si>
  <si>
    <t>ENVERGADURA RELATIVA</t>
  </si>
  <si>
    <t>REFERENCIAS</t>
  </si>
  <si>
    <t>Deportista</t>
  </si>
  <si>
    <t>Centímetros</t>
  </si>
  <si>
    <t>M. O. CABEZA</t>
  </si>
  <si>
    <t>M. O. CUERPO</t>
  </si>
  <si>
    <t>M. Muscular</t>
  </si>
  <si>
    <t>M. Adiposa</t>
  </si>
  <si>
    <t>M. Ósea</t>
  </si>
  <si>
    <t>M. Residual</t>
  </si>
  <si>
    <t>Ir al Gráfico de Fraccionamiento en 5 componentes</t>
  </si>
  <si>
    <t>Ver 2° Parte del Gráfico</t>
  </si>
  <si>
    <t>PRESENTACIÓN</t>
  </si>
  <si>
    <t>FRACCIONAMIENTO</t>
  </si>
  <si>
    <t>PROPORCIONALIDAD</t>
  </si>
  <si>
    <t>ÍNDICES</t>
  </si>
  <si>
    <t>PLANILLA</t>
  </si>
  <si>
    <t>CALIFICACIÓN</t>
  </si>
  <si>
    <t>SIN REFERENCIAS</t>
  </si>
  <si>
    <t>ÍNDICE</t>
  </si>
  <si>
    <t>piel que componen el peso total de un sujeto. Elaborado por Deborah Kerr y William Ross.</t>
  </si>
  <si>
    <t>componentes. El endomórfico o predominancia adiposa, el mesomórfico o predominancia músculo-esquelética</t>
  </si>
  <si>
    <t>y el ectomórfico o predominancia en linearidad. Elaborado por Heath y Carter.</t>
  </si>
  <si>
    <t>y masas o volúmenes, comparándolos con una media unisexuada y universal llamada modelo Phantom.</t>
  </si>
  <si>
    <t>consideran de menor riesgo para la salud.</t>
  </si>
  <si>
    <t>bajos indican una mejor relación.</t>
  </si>
  <si>
    <t>una mejor relación.</t>
  </si>
  <si>
    <t>uno (1), indican distribución androide, los valores inferiores a uno indican una distribución de tipo ginecoide.</t>
  </si>
  <si>
    <t>estatura total.</t>
  </si>
  <si>
    <t>MÁS REFERENCIAS</t>
  </si>
  <si>
    <t>Comparativos</t>
  </si>
  <si>
    <t>Endo</t>
  </si>
  <si>
    <t>Meso</t>
  </si>
  <si>
    <t>Ecto</t>
  </si>
  <si>
    <t>Ver Somatocarta</t>
  </si>
  <si>
    <t>Elija un deporte</t>
  </si>
  <si>
    <t>Atletismo Torneos Juveniles Bonaerenses 12 años</t>
  </si>
  <si>
    <t>Atletismo Torneos Juveniles Bonaerenses 13 años</t>
  </si>
  <si>
    <t>Atletismo Torneos Juveniles Bonaerenses 14 años</t>
  </si>
  <si>
    <t>Atletismo Torneos Juveniles Bonaerenses 15 años</t>
  </si>
  <si>
    <t>Atletismo Torneos Juveniles Bonaerenses 16 años</t>
  </si>
  <si>
    <t>Atletismo Torneos Juveniles Bonaerenses 17años</t>
  </si>
  <si>
    <t>Atletismo Torneos Juveniles Bonaerenses 18años</t>
  </si>
  <si>
    <t>Atletismo Vallas Australia</t>
  </si>
  <si>
    <t>Atletismo 400m vallas Olímpicos 1976</t>
  </si>
  <si>
    <t>Atletismo 800-1500m Olímpicos 1976</t>
  </si>
  <si>
    <t>Atletismo decatlón Olímpicos 1976</t>
  </si>
  <si>
    <t>Atletismo fondo Olímpicos 1976</t>
  </si>
  <si>
    <t>Atletismo jabalina Olímpicos 1976</t>
  </si>
  <si>
    <t>Atletismo lanzamientos Olímpicos 1976</t>
  </si>
  <si>
    <t>Atletismo maratón Olímpicos 1976</t>
  </si>
  <si>
    <t>Atletismo marcha Olímpicos 1976</t>
  </si>
  <si>
    <t>Atletismo saltos Olímpicos 1976</t>
  </si>
  <si>
    <t>Atletismo velocidad Olímpicos 1976</t>
  </si>
  <si>
    <t>Atletismo fondo España 1993</t>
  </si>
  <si>
    <t>Atletismo medio fondo España 1993</t>
  </si>
  <si>
    <t>Atletismo marcha España 1993</t>
  </si>
  <si>
    <t>Atletismo saltos España 1993</t>
  </si>
  <si>
    <t>Atletismo velocidad España 1993</t>
  </si>
  <si>
    <t>Atletismo lanzamientos España 1993</t>
  </si>
  <si>
    <t>Atletismo pruebas combinadas España 1993</t>
  </si>
  <si>
    <t>Atletismo fondo Olímpicos 1984</t>
  </si>
  <si>
    <t>Atletismo medio fondo Olímpicos 1984</t>
  </si>
  <si>
    <t>Atletismo 400m llanos Olímpicos 1984</t>
  </si>
  <si>
    <t>Atletismo maratón Olímpicos 1984</t>
  </si>
  <si>
    <t>Atletismo marcha Olímpicos 1984</t>
  </si>
  <si>
    <t>Atletismo lanzamientos (peso-disco-martillo) Olímpicos 1984</t>
  </si>
  <si>
    <t>Atletismo lanzamientos (jabalina) Olímpicos 1984</t>
  </si>
  <si>
    <t>Atletismo pruebas combinadas Olímpicos 1984</t>
  </si>
  <si>
    <t>Atletismo salto con garrocha Olímpicos 1984</t>
  </si>
  <si>
    <t>Atletismo saltos (longitud-alto-triple) Olímpicos 1984</t>
  </si>
  <si>
    <t>Atletismo vallas Olímpicos 1984</t>
  </si>
  <si>
    <t>Básquet Australia</t>
  </si>
  <si>
    <t>Básquet Torneos Juveniles Bonaerenses 12 años 1996</t>
  </si>
  <si>
    <t>Básquet Torneos Juveniles Bonaerenses 13 años 1996</t>
  </si>
  <si>
    <t>Básquet Torneos Juveniles Bonaerenses 14 años 1996</t>
  </si>
  <si>
    <t>Básquet Torneos Juveniles Bonaerenses 15 años 1996</t>
  </si>
  <si>
    <t>Básquet Torneos Juveniles Bonaerenses 16 años 1996</t>
  </si>
  <si>
    <t>Básquet Torneos Juveniles Bonaerenses 17 años 1996</t>
  </si>
  <si>
    <t>Básquet Torneos Juveniles Bonaerenses 18 años 1996</t>
  </si>
  <si>
    <t>Básquet Olímpicos 1976</t>
  </si>
  <si>
    <t>Básquet España Promedio 1993</t>
  </si>
  <si>
    <t>Básquet España Castilla y León, Valladolid 1993</t>
  </si>
  <si>
    <t>Básquet Olímpicos 1984 Selección Mexicana</t>
  </si>
  <si>
    <t>Básquet Olímpicos 1984 Selección Australiana</t>
  </si>
  <si>
    <t>Básquet Olímpicos 1984 Selección Rusa</t>
  </si>
  <si>
    <t>Básquet Olímpicos 1984 Selección Cubana</t>
  </si>
  <si>
    <t>Boxeo España 1993</t>
  </si>
  <si>
    <t>Boxeo Categoría &lt;60kg Olímpicos 1976</t>
  </si>
  <si>
    <t>Boxeo Categoría 60-79,9kg Olímpicos 1976</t>
  </si>
  <si>
    <t>Boxeo Categoría 80-99,9kg Olímpicos 1976</t>
  </si>
  <si>
    <t>Boxeo Olímpicos 1984 Equipo Mexicano</t>
  </si>
  <si>
    <t>Boxeo Olímpicos 1984 Equipo Canadiense</t>
  </si>
  <si>
    <t>Carrera de larga distancia Australia</t>
  </si>
  <si>
    <t>Canotaje Olímpicos 1976</t>
  </si>
  <si>
    <t>Ciclismo Olímpicos 1976</t>
  </si>
  <si>
    <t>Ciclismo ruta México 1974</t>
  </si>
  <si>
    <t>Ciclismo ruta Montreal 1982</t>
  </si>
  <si>
    <t>Esgrima Olímpicos 1976</t>
  </si>
  <si>
    <t>Esgrima Montreal 1982</t>
  </si>
  <si>
    <t>Esgrima Venezuela 1981</t>
  </si>
  <si>
    <t>Esgrima Cuba Período 1976/80</t>
  </si>
  <si>
    <t>Esgrima Hungría 1980</t>
  </si>
  <si>
    <t>Fútbol australiano Australia</t>
  </si>
  <si>
    <t>Fútbol Torneos Juveniles Bonaerenses 12años</t>
  </si>
  <si>
    <t>Fútbol Torneos Juveniles Bonaerenses 13años</t>
  </si>
  <si>
    <t>Fútbol Torneos Juveniles Bonaerenses 14años</t>
  </si>
  <si>
    <t>Fútbol Torneos Juveniles Bonaerenses 15años</t>
  </si>
  <si>
    <t>Fútbol Torneos Juveniles Bonaerenses 16años</t>
  </si>
  <si>
    <t>Fútbol Torneos Juveniles Bonaerenses 17años</t>
  </si>
  <si>
    <t>Fútbol Torneos Juveniles Bonaerenses 18años</t>
  </si>
  <si>
    <t>Fútbol Australia 1976</t>
  </si>
  <si>
    <t>Fútbol Brasil 1985</t>
  </si>
  <si>
    <t>Fútbol Argentina Belgrano Córdoba 2001</t>
  </si>
  <si>
    <t>Fútbol México Cruz Azul 1987</t>
  </si>
  <si>
    <t>Fútbol Haití Selección Nacional 2001</t>
  </si>
  <si>
    <t>Gimnasia Australia</t>
  </si>
  <si>
    <t>Gimnasia México 1974</t>
  </si>
  <si>
    <t>Gimnasia Montreal 1982</t>
  </si>
  <si>
    <t>Gimnasia China 1985</t>
  </si>
  <si>
    <t>Halterofilia &lt;60kg Olímpicos 1976</t>
  </si>
  <si>
    <t>Halterofilia &gt;100kg Olímpicos 1976</t>
  </si>
  <si>
    <t>Halterofilia 60-79,9kg Olímpicos 1976</t>
  </si>
  <si>
    <t>Halterofilia 80-99,9kg Olímpicos 1976</t>
  </si>
  <si>
    <t>Hándbol Torneos Juveniles Bonaerenses 13años</t>
  </si>
  <si>
    <t>Hándbol Torneos Juveniles Bonaerenses 14años</t>
  </si>
  <si>
    <t>Hándbol Torneos Juveniles Bonaerenses 15años</t>
  </si>
  <si>
    <t>Hándbol Torneos Juveniles Bonaerenses 16años</t>
  </si>
  <si>
    <t>Hándbol Torneos Juveniles Bonaerenses 17años</t>
  </si>
  <si>
    <t>Hándbol Torneos Juveniles Bonaerenses 18años</t>
  </si>
  <si>
    <t>Hándbol Checoslovaquia 1986</t>
  </si>
  <si>
    <t>Hándbol Hungría 1982</t>
  </si>
  <si>
    <t>Hóckey Australia</t>
  </si>
  <si>
    <t>Hóckey césped Torneos Juveniles Bonaerenses 12años</t>
  </si>
  <si>
    <t>Hóckey césped Torneos Juveniles Bonaerenses 13años</t>
  </si>
  <si>
    <t>Hóckey césped Torneos Juveniles Bonaerenses 14años</t>
  </si>
  <si>
    <t>Hóckey césped Torneos Juveniles Bonaerenses 15años</t>
  </si>
  <si>
    <t>Hóckey césped Torneos Juveniles Bonaerenses 16años</t>
  </si>
  <si>
    <t>Hóckey césped Torneos Juveniles Bonaerenses 17años</t>
  </si>
  <si>
    <t>Hóckey césped Olímpicos 1976</t>
  </si>
  <si>
    <t>Hóckey césped India 1984</t>
  </si>
  <si>
    <t>Hóckey césped South Australia 1985</t>
  </si>
  <si>
    <t>Judo 60-79,9kg Olímpicos 1976</t>
  </si>
  <si>
    <t>Judo 80-99,9kg Olímpicos 1976</t>
  </si>
  <si>
    <t>Judo Montreal 1982/84</t>
  </si>
  <si>
    <t>Judo Panamericanos 1979 &lt;60kg</t>
  </si>
  <si>
    <t>Judo Panamericanos 1979 60-65kg</t>
  </si>
  <si>
    <t>Judo Panamericanos 1979 65-71kg</t>
  </si>
  <si>
    <t>Judo Panamericanos 1979 71-78kg</t>
  </si>
  <si>
    <t>Judo Panamericanos 1979 78-86kg</t>
  </si>
  <si>
    <t>Judo Panamericanos 1979 86-95kg</t>
  </si>
  <si>
    <t>Judo Panamericanos 1979 &gt;95kg</t>
  </si>
  <si>
    <t>Judo Mundial 1981 &lt;71kg</t>
  </si>
  <si>
    <t>Judo Mundial 1981 71-85kg</t>
  </si>
  <si>
    <t>Judo Mundial 1981 &gt;86kg</t>
  </si>
  <si>
    <t>Levantamiento Australia</t>
  </si>
  <si>
    <t>Lucha &lt;60kg Olímpicos 1976</t>
  </si>
  <si>
    <t>Lucha &gt;100kg Olímpicos 1976</t>
  </si>
  <si>
    <t>Lucha 60-79,9kg Olímpicos 1976</t>
  </si>
  <si>
    <t>Lucha 80-99,9kg Olímpicos 1976</t>
  </si>
  <si>
    <t>Natación Olímpicos 1976</t>
  </si>
  <si>
    <t>Natación México 1975</t>
  </si>
  <si>
    <t>Natación Montreal 1982</t>
  </si>
  <si>
    <t>Natación Munich 1978</t>
  </si>
  <si>
    <t>Paddle Torneos Juveniles Bonaerenses 12años</t>
  </si>
  <si>
    <t>Paddle Torneos Juveniles Bonaerenses 13años</t>
  </si>
  <si>
    <t>Paddle Torneos Juveniles Bonaerenses 16años</t>
  </si>
  <si>
    <t>Paddle Torneos Juveniles Bonaerenses 17años</t>
  </si>
  <si>
    <t>Pentatlón moderno Olímpicos 1976</t>
  </si>
  <si>
    <t>Piragúismo México 1974</t>
  </si>
  <si>
    <t>Piragúismo Montreal 1982</t>
  </si>
  <si>
    <t>Piragúismo Hungría 1982</t>
  </si>
  <si>
    <t>Remo Olímpicos 1976</t>
  </si>
  <si>
    <t>Remo peso pesado Australia</t>
  </si>
  <si>
    <t>Remo México 1974</t>
  </si>
  <si>
    <t>Remo Montreal 1982</t>
  </si>
  <si>
    <t>Rugby Australia 1985</t>
  </si>
  <si>
    <t>Rugby Torneos Juveniles Bonaerenses 12años</t>
  </si>
  <si>
    <t>Rugby Torneos Juveniles Bonaerenses 13años</t>
  </si>
  <si>
    <t>Rugby Torneos Juveniles Bonaerenses 14años</t>
  </si>
  <si>
    <t>Rugby Torneos Juveniles Bonaerenses 15años</t>
  </si>
  <si>
    <t>Rugby Torneos Juveniles Bonaerenses 16años</t>
  </si>
  <si>
    <t>Rugby Torneos Juveniles Bonaerenses 17años</t>
  </si>
  <si>
    <t>Rugby Torneos Juveniles Bonaerenses 18años</t>
  </si>
  <si>
    <t>Rugby Sudáfrica 1974</t>
  </si>
  <si>
    <t>Sóftbol Torneos Juveniles Bonaerenses 13años</t>
  </si>
  <si>
    <t>Sóftbol Torneos Juveniles Bonaerenses 14años</t>
  </si>
  <si>
    <t>Sóftbol Torneos Juveniles Bonaerenses 15años</t>
  </si>
  <si>
    <t>Sóftbol Torneos Juveniles Bonaerenses 16años</t>
  </si>
  <si>
    <t>Sóftbol Torneos Juveniles Bonaerenses 17años</t>
  </si>
  <si>
    <t>Sóftbol Torneos Juveniles Bonaerenses 18años</t>
  </si>
  <si>
    <t>Squash Australia</t>
  </si>
  <si>
    <t>Tenis Abierto de Sudáfrica 1980</t>
  </si>
  <si>
    <t>Tenis de Mesa Europa 1979</t>
  </si>
  <si>
    <t>Trampolín Olímpicos 1976</t>
  </si>
  <si>
    <t>Triatlón Campeonato Nacional U.S.A. 1987</t>
  </si>
  <si>
    <t>Vóley Cuba Período 1976/80</t>
  </si>
  <si>
    <t>Voley Olímpicos de U.S.A. 1983</t>
  </si>
  <si>
    <t>Vóley Torneo Argentino 1999</t>
  </si>
  <si>
    <t>Vóley Torneos Juveniles Bonaerenses 12años</t>
  </si>
  <si>
    <t>Vóley Torneos Juveniles Bonaerenses 13años</t>
  </si>
  <si>
    <t>Vóley Torneos Juveniles Bonaerenses 14años</t>
  </si>
  <si>
    <t>Vóley Torneos Juveniles Bonaerenses 15años</t>
  </si>
  <si>
    <t>Vóley Torneso Juveniles Bonaerenses 16años</t>
  </si>
  <si>
    <t>Vóley Torneos Juveniles Bonaerenses 17años</t>
  </si>
  <si>
    <t>Vóley Torneos Juveniles Bonaerenses 18años</t>
  </si>
  <si>
    <t>Waterpolo Olímpicos 1976</t>
  </si>
  <si>
    <t>Atletismo Velocidad Vallas México (M)</t>
  </si>
  <si>
    <t>Atletismo Mediofondo México (M)</t>
  </si>
  <si>
    <t>Atletismo Lanzamientos Disco y Peso México (M)</t>
  </si>
  <si>
    <t>Atletismo Jabalina México (M)</t>
  </si>
  <si>
    <t>Atletismo Pruebas Combinadas México (M)</t>
  </si>
  <si>
    <t>Atletismo Salto Longitud México (M)</t>
  </si>
  <si>
    <t>Atletismo Salto Altura México (M)</t>
  </si>
  <si>
    <t>Atletismo TJ Bonaerenses 12 años (M)</t>
  </si>
  <si>
    <t>Atletismo TJ Bonaerenses 13 años (M)</t>
  </si>
  <si>
    <t>Atletismo TJ Bonaerenses 14 años (M)</t>
  </si>
  <si>
    <t>Atletismo TJ Bonaerenses 15 años (M)</t>
  </si>
  <si>
    <t>Atletismo TJ Bonaerenses 16 años (M)</t>
  </si>
  <si>
    <t>Atletismo TJ Bonaerenses 17 años (M)</t>
  </si>
  <si>
    <t>Atletismo TJ Bonaerenses 18 años (M)</t>
  </si>
  <si>
    <t>Badmington Australia 1987 (M)</t>
  </si>
  <si>
    <t>Básquetbol Canadá 1976 (M)</t>
  </si>
  <si>
    <t>Básquetbol Rusia 1970 (M)</t>
  </si>
  <si>
    <t>Básquetbol South Australia 1987 (M)</t>
  </si>
  <si>
    <t>Básquetbol Austin 1978 (M)</t>
  </si>
  <si>
    <t>Básquetbol TJ Bonaerenses 12 años (M)</t>
  </si>
  <si>
    <t>Básquetbol TJ Bonaerenses 13 años (M)</t>
  </si>
  <si>
    <t>Básquetbol TJ Bonaerenses 14 años (M)</t>
  </si>
  <si>
    <t>Básquetbol TJ Bonaerenses 15 años (M)</t>
  </si>
  <si>
    <t>Básquetbol TJ Bonaerenses 16 años (M)</t>
  </si>
  <si>
    <t>Básquetbol TJ Bonaerenses 17 años (M)</t>
  </si>
  <si>
    <t>Básquetbol TJ Bonaerenses 18 años (M)</t>
  </si>
  <si>
    <t>Canotaje Olímpicas de México (M)</t>
  </si>
  <si>
    <t>Cestobol Australia 1987 (M)</t>
  </si>
  <si>
    <t>Cestobol TJ Bonaerenses 12 años (M)</t>
  </si>
  <si>
    <t>Cestobol TJ Bonaerenses 13 años (M)</t>
  </si>
  <si>
    <t>Cestobol TJ Bonaerenses 14 años (M)</t>
  </si>
  <si>
    <t>Cestobol TJ Bonaerenses 15 años (M)</t>
  </si>
  <si>
    <t>Cestobol TJ Bonaerenses 16 años (M)</t>
  </si>
  <si>
    <t>Cestobol TJ Bonaerenses 17 años (M)</t>
  </si>
  <si>
    <t>Cestobol TJ Bonaerenses 18 años (M)</t>
  </si>
  <si>
    <t>Cricket Australia 1987 (M)</t>
  </si>
  <si>
    <t>Fútbol Australia 1987 (M)</t>
  </si>
  <si>
    <t>Gimnasia Olímpicas de México (M)</t>
  </si>
  <si>
    <t>Gimnasia deportiva TJ Bonaerenses 12 años (M)</t>
  </si>
  <si>
    <t>Gimnasia deportiva TJ Bonaerenses 13 años (M)</t>
  </si>
  <si>
    <t>Gimnasia deportiva TJ Bonaerenses 14 años (M)</t>
  </si>
  <si>
    <t>Gimnasia deportiva TJ Bonaerenses 15 años (M)</t>
  </si>
  <si>
    <t>Gimnasia deportiva TJ Bonaerenses 16 años (M)</t>
  </si>
  <si>
    <t>Gimnasia deportiva TJ Bonaerenses 17 años (M)</t>
  </si>
  <si>
    <t>Gimnasia deportiva TJ Bonaerenses 18 años (M)</t>
  </si>
  <si>
    <t>Handbol TJ Bonaerenses 13 años (M)</t>
  </si>
  <si>
    <t>Handbol TJ Bonaerenses 14 años (M)</t>
  </si>
  <si>
    <t>Handbol TJ Bonaerenses 15 años (M)</t>
  </si>
  <si>
    <t>Handbol TJ Bonaerenses 16 años (M)</t>
  </si>
  <si>
    <t>Handbol TJ Bonaerenses 17 años (M)</t>
  </si>
  <si>
    <t>Handbol TJ Bonaerenses 18 años (M)</t>
  </si>
  <si>
    <t>Hockey Australia 1987 (M)</t>
  </si>
  <si>
    <t>Hockey césped TJ Bonaerenses 12 años (M)</t>
  </si>
  <si>
    <t>Hockey césped TJ Bonaerenses 13 años (M)</t>
  </si>
  <si>
    <t>Hockey césped TJ Bonaerenses 14 años (M)</t>
  </si>
  <si>
    <t>Hóckey césped TJ Bonaerenses 15 años (M)</t>
  </si>
  <si>
    <t>Hockey césped TJ Bonaerenses 16 años (M)</t>
  </si>
  <si>
    <t>Hockey césped TJ Bonaerenses 17 años (M)</t>
  </si>
  <si>
    <t>Hockey césped TJ Bonaerenses 18 años (M)</t>
  </si>
  <si>
    <t>Lacrosse Australia 1987 (M)</t>
  </si>
  <si>
    <t>Natación Olímpicas de México (M)</t>
  </si>
  <si>
    <t>Paddle TJ Bonaerenses 12 años (M)</t>
  </si>
  <si>
    <t>Paddle TJ Bonaerenses 13 años (M)</t>
  </si>
  <si>
    <t>Paddle TJ Bonaerenses 14 años (M)</t>
  </si>
  <si>
    <t>Paddle TJ Bonaerenses 15 años (M)</t>
  </si>
  <si>
    <t>Paddle TJ Bonaerenses 17 años (M)</t>
  </si>
  <si>
    <t>Remo Olímpicas de México (M)</t>
  </si>
  <si>
    <t>Sóftbol Australia 1987(M)</t>
  </si>
  <si>
    <t>Squash Australia 1987 (M)</t>
  </si>
  <si>
    <t>Trampolín Olímpicas de México (M)</t>
  </si>
  <si>
    <t>Voleibol Australia 1987 (M)</t>
  </si>
  <si>
    <t>Voleibol TJ Bonaerenses 12 años (M)</t>
  </si>
  <si>
    <t>Voleibol TJ Bonaerenses 13 años (M)</t>
  </si>
  <si>
    <t>Voleibol TJ Bonaerenses 14 años (M)</t>
  </si>
  <si>
    <t>Voleibol TJ Bonaerenses 15 años (M)</t>
  </si>
  <si>
    <t>Voleibol TJ Bonaerenses 16 años (M)</t>
  </si>
  <si>
    <t>Voleibol TJ Bonaerenses 17 años (M)</t>
  </si>
  <si>
    <t>Voleibol TJ Bonaerenses 18 años (M)</t>
  </si>
  <si>
    <t>Eje X</t>
  </si>
  <si>
    <t>Eje Y</t>
  </si>
  <si>
    <t>SDD</t>
  </si>
  <si>
    <t xml:space="preserve">                         FRACCIONAMIENTO DE LA MASA CORPORAL EN CINCO COMPONENTES</t>
  </si>
  <si>
    <t xml:space="preserve">            PROPORCIONALIDAD PHANTOM</t>
  </si>
  <si>
    <t xml:space="preserve">                                               ÍNDICES DEL ESTADO DE SALUD </t>
  </si>
  <si>
    <t>Rugby Argentina 2004</t>
  </si>
  <si>
    <t>Fútbol Sokip 1995, Arqueros</t>
  </si>
  <si>
    <t>Fútbol Sokip 1995, Defensores centrales</t>
  </si>
  <si>
    <t>Fútbol Sokip 1995, Defensores laterales</t>
  </si>
  <si>
    <t>Fútbol Sokip 1995, Medios defensivos</t>
  </si>
  <si>
    <t>Fútbol Sokip 1995, Medios ofensivos</t>
  </si>
  <si>
    <t>Fútbol Sokip 1995, Delanteros centrales</t>
  </si>
  <si>
    <t>Fútbol Sokip 1995, Promedio total</t>
  </si>
  <si>
    <t>Fútbol Sokip 1995, Delanteros laterales</t>
  </si>
  <si>
    <t>Fútbol Sokip 1995, Selección Argentina (Promedio)</t>
  </si>
  <si>
    <t>Fútbol Sokip 1995, Selección Boliviana (Promedio)</t>
  </si>
  <si>
    <t>Fútbol Sokip 1995, Selección Colombiana (Promedio)</t>
  </si>
  <si>
    <t>Fútbol Sokip 1995, Selección Ecuatoriana (Promedio)</t>
  </si>
  <si>
    <t>Fútbol Sokip 1995, Selección Paraguaya (Promedio)</t>
  </si>
  <si>
    <t>Fútbol Sokip 1995, Selección Uruguaya (Promedio)</t>
  </si>
  <si>
    <t>Fútbol España, Profesional, 1997</t>
  </si>
  <si>
    <t>Fútbol Brasil (Club, Pinto), 1978</t>
  </si>
  <si>
    <t>Fútbol Brasil (Club, Matsudo), 1986</t>
  </si>
  <si>
    <t>Fútbol Brasil, Panamericano 1977</t>
  </si>
  <si>
    <t>Fútbol Brasil, Mundial 1994</t>
  </si>
  <si>
    <t>Fútbol Kuwait, Mundial 1982</t>
  </si>
  <si>
    <t>Tenis SAARD Argentina 2003 (M)</t>
  </si>
  <si>
    <t>Tenis SAARD Argentina 2003</t>
  </si>
  <si>
    <t>Tenis Juveniles España 12-14 años Elite (M)</t>
  </si>
  <si>
    <t>Tenis Juveniles España 12-14 años Muestra Total (M)</t>
  </si>
  <si>
    <t>Tenis Juveniles España 12-14 años Elite</t>
  </si>
  <si>
    <t>Tenis Juveniles España 12-14 años Muestra Total</t>
  </si>
  <si>
    <t>Diferencia Peso Real y Estructurado</t>
  </si>
  <si>
    <t>Neta</t>
  </si>
  <si>
    <t>Porcentual</t>
  </si>
  <si>
    <t>VER GRÁFICO</t>
  </si>
  <si>
    <t>Componentes del deportista</t>
  </si>
  <si>
    <r>
      <t>FRACCIONAMIENTO</t>
    </r>
    <r>
      <rPr>
        <sz val="10"/>
        <rFont val="Calibri"/>
        <family val="2"/>
        <scheme val="minor"/>
      </rPr>
      <t>: Método que determina los porcentajes de tejido adiposo, muscular, óseo, visceral y de la</t>
    </r>
  </si>
  <si>
    <r>
      <t>SOMATOTIPO</t>
    </r>
    <r>
      <rPr>
        <sz val="10"/>
        <rFont val="Calibri"/>
        <family val="2"/>
        <scheme val="minor"/>
      </rPr>
      <t>: Estrategia que valora la forma externa del cuerpo según la predominancia en uno o dos de tres</t>
    </r>
  </si>
  <si>
    <r>
      <t>PROPORCIONALIDAD</t>
    </r>
    <r>
      <rPr>
        <sz val="10"/>
        <rFont val="Calibri"/>
        <family val="2"/>
        <scheme val="minor"/>
      </rPr>
      <t>: Método que permite monitorear los cambios en el crecimiento en longitudes, superficies</t>
    </r>
  </si>
  <si>
    <r>
      <t>COCIENTE CINTURA/CADERA</t>
    </r>
    <r>
      <rPr>
        <sz val="10"/>
        <rFont val="Calibri"/>
        <family val="2"/>
        <scheme val="minor"/>
      </rPr>
      <t>: Informa acerca de la distribución del tejido adiposo. Los valores más bajos se</t>
    </r>
  </si>
  <si>
    <r>
      <t>COCIENTE ADIPOSO/MUSCULAR</t>
    </r>
    <r>
      <rPr>
        <sz val="10"/>
        <rFont val="Calibri"/>
        <family val="2"/>
        <scheme val="minor"/>
      </rPr>
      <t>: Relaciona estos componentes afines a la fuerza y la potencia. Los valores</t>
    </r>
  </si>
  <si>
    <r>
      <t>BODY MASS INDEX</t>
    </r>
    <r>
      <rPr>
        <sz val="10"/>
        <rFont val="Calibri"/>
        <family val="2"/>
        <scheme val="minor"/>
      </rPr>
      <t>: O Índice de Masa Corporal, expresa la relación entre la estatura y el peso.</t>
    </r>
  </si>
  <si>
    <r>
      <t>COCIENTE MÚSCULO/HUESO</t>
    </r>
    <r>
      <rPr>
        <sz val="10"/>
        <rFont val="Calibri"/>
        <family val="2"/>
        <scheme val="minor"/>
      </rPr>
      <t>: Relaciona estas dos estructuras funcionales. Los valores mayores indican</t>
    </r>
  </si>
  <si>
    <r>
      <t>ÍNDICE DE CONICIDAD</t>
    </r>
    <r>
      <rPr>
        <sz val="10"/>
        <rFont val="Calibri"/>
        <family val="2"/>
        <scheme val="minor"/>
      </rPr>
      <t>: Valora la distribución del tejido adiposo, según el tipo de género. Valores superiores a</t>
    </r>
  </si>
  <si>
    <r>
      <t>I.R.E.S</t>
    </r>
    <r>
      <rPr>
        <sz val="10"/>
        <rFont val="Calibri"/>
        <family val="2"/>
        <scheme val="minor"/>
      </rPr>
      <t>: O longitud relativa de la extremidad superior. Relaciona la longitud total de la extremidad superior con la</t>
    </r>
  </si>
  <si>
    <r>
      <t>I.R.E.S</t>
    </r>
    <r>
      <rPr>
        <sz val="10"/>
        <rFont val="Calibri"/>
        <family val="2"/>
        <scheme val="minor"/>
      </rPr>
      <t>: O longitud relativa de la extremidad inferior. Relaciona la longitud total de la extremidad inferior con la</t>
    </r>
  </si>
  <si>
    <r>
      <t>ÍNDICE INTERMEMBRAL</t>
    </r>
    <r>
      <rPr>
        <sz val="10"/>
        <rFont val="Calibri"/>
        <family val="2"/>
        <scheme val="minor"/>
      </rPr>
      <t>: Relaciona las longitudes de las extremidades superior e inferior.</t>
    </r>
  </si>
  <si>
    <r>
      <t>ÍNDICE BRAQUIAL</t>
    </r>
    <r>
      <rPr>
        <sz val="10"/>
        <rFont val="Calibri"/>
        <family val="2"/>
        <scheme val="minor"/>
      </rPr>
      <t>: Representa la relación entre el antebrazo y el brazo.</t>
    </r>
  </si>
  <si>
    <r>
      <t>ÍNDICE CRURAL</t>
    </r>
    <r>
      <rPr>
        <sz val="10"/>
        <rFont val="Calibri"/>
        <family val="2"/>
        <scheme val="minor"/>
      </rPr>
      <t>: Relaciona las longiutdes de la pierna y el muslo.</t>
    </r>
  </si>
  <si>
    <r>
      <t>ÍNDICE CÓRMICO</t>
    </r>
    <r>
      <rPr>
        <sz val="10"/>
        <rFont val="Calibri"/>
        <family val="2"/>
        <scheme val="minor"/>
      </rPr>
      <t>: Relaciona la talla de sentado con la estatura total.</t>
    </r>
  </si>
  <si>
    <r>
      <t>ÍNDICE ESQUELÉTICO DE MANOUVRIER</t>
    </r>
    <r>
      <rPr>
        <sz val="10"/>
        <rFont val="Calibri"/>
        <family val="2"/>
        <scheme val="minor"/>
      </rPr>
      <t>: Relaciona la longitud del tronco y de la extremidad inferior.</t>
    </r>
  </si>
  <si>
    <r>
      <t>ÍNDICE ACROMIO-ILÍACO</t>
    </r>
    <r>
      <rPr>
        <sz val="10"/>
        <rFont val="Calibri"/>
        <family val="2"/>
        <scheme val="minor"/>
      </rPr>
      <t>: Relaciona las anchuras relativas de los diámetros bicrestal y biacromial.</t>
    </r>
  </si>
  <si>
    <r>
      <t>ENVERGADURA RELATIVA</t>
    </r>
    <r>
      <rPr>
        <sz val="10"/>
        <rFont val="Calibri"/>
        <family val="2"/>
        <scheme val="minor"/>
      </rPr>
      <t>: Mide la relación porcentual entre la envergadura y la estatura total.</t>
    </r>
  </si>
  <si>
    <t xml:space="preserve">                 CINE GIM 2002 - VERSIÓN 1.8 - PROGRAMA DE CINEANTROPOMETRÍA - Lic. JOSÉ LUIS ARCODIA</t>
  </si>
  <si>
    <t>Rugby Argentina URBA M-18 1º línea</t>
  </si>
  <si>
    <t>Rugby Argentina URBA M-18 Forwards</t>
  </si>
  <si>
    <t>Rugby Argentina URBA M-18 Backs</t>
  </si>
  <si>
    <t>Rugby Argentina URBARef Pilar (Holway, 2009)</t>
  </si>
  <si>
    <t>Rugby Argentina URBARef Hooker (Holway, 2009)</t>
  </si>
  <si>
    <t>Rugby Argentina URBARef 2º línea (Holway, 2009)</t>
  </si>
  <si>
    <t>Rugby Argentina URBARef 3º línea (Holway, 2009)</t>
  </si>
  <si>
    <t>Rugby Argentina URBARef Medio scrum (Holway, 2009)</t>
  </si>
  <si>
    <t>Rugby Argentina URBARef Apertura (Holway, 2009)</t>
  </si>
  <si>
    <t>Rugby Argentina URBARef Centro (Holway, 2009)</t>
  </si>
  <si>
    <t>Rugby Argentina URBARef Wing (Holway, 2009)</t>
  </si>
  <si>
    <t>Rugby Argentina URBARef Fullback (Holway, 2009)</t>
  </si>
  <si>
    <t>Rugby Argentina URBARef Promedio total (Holway, 2009)</t>
  </si>
</sst>
</file>

<file path=xl/styles.xml><?xml version="1.0" encoding="utf-8"?>
<styleSheet xmlns="http://schemas.openxmlformats.org/spreadsheetml/2006/main">
  <numFmts count="3">
    <numFmt numFmtId="164" formatCode="0.000\ \K\g"/>
    <numFmt numFmtId="165" formatCode="0.00\ \c"/>
    <numFmt numFmtId="166" formatCode="0.000"/>
  </numFmts>
  <fonts count="68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6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u/>
      <sz val="8"/>
      <name val="Arial"/>
      <family val="2"/>
    </font>
    <font>
      <b/>
      <u/>
      <sz val="10"/>
      <color indexed="12"/>
      <name val="Arial"/>
      <family val="2"/>
    </font>
    <font>
      <b/>
      <sz val="10"/>
      <color indexed="28"/>
      <name val="Arial"/>
      <family val="2"/>
    </font>
    <font>
      <b/>
      <sz val="10"/>
      <color indexed="11"/>
      <name val="Arial"/>
      <family val="2"/>
    </font>
    <font>
      <b/>
      <sz val="10"/>
      <color indexed="6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48"/>
      <name val="Arial"/>
      <family val="2"/>
    </font>
    <font>
      <b/>
      <sz val="7"/>
      <color indexed="48"/>
      <name val="Arial"/>
      <family val="2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b/>
      <i/>
      <sz val="7"/>
      <color indexed="62"/>
      <name val="Arial"/>
      <family val="2"/>
    </font>
    <font>
      <b/>
      <i/>
      <sz val="8"/>
      <color indexed="5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7"/>
      <color indexed="62"/>
      <name val="Arial"/>
      <family val="2"/>
    </font>
    <font>
      <b/>
      <u/>
      <sz val="10"/>
      <color theme="4" tint="-0.24997711111789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61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sz val="10"/>
      <color indexed="54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indexed="6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9"/>
      <color indexed="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color indexed="6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color indexed="61"/>
      <name val="Calibri"/>
      <family val="2"/>
      <scheme val="minor"/>
    </font>
    <font>
      <i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25"/>
      <name val="Calibri"/>
      <family val="2"/>
      <scheme val="minor"/>
    </font>
    <font>
      <b/>
      <sz val="10"/>
      <color indexed="11"/>
      <name val="Calibri"/>
      <family val="2"/>
      <scheme val="minor"/>
    </font>
    <font>
      <b/>
      <sz val="10"/>
      <color indexed="61"/>
      <name val="Calibri"/>
      <family val="2"/>
      <scheme val="minor"/>
    </font>
    <font>
      <sz val="10"/>
      <color indexed="25"/>
      <name val="Calibri"/>
      <family val="2"/>
      <scheme val="minor"/>
    </font>
    <font>
      <b/>
      <sz val="10"/>
      <color indexed="29"/>
      <name val="Calibri"/>
      <family val="2"/>
      <scheme val="minor"/>
    </font>
    <font>
      <b/>
      <sz val="9"/>
      <color indexed="25"/>
      <name val="Calibri"/>
      <family val="2"/>
      <scheme val="minor"/>
    </font>
    <font>
      <b/>
      <i/>
      <sz val="10"/>
      <color indexed="25"/>
      <name val="Calibri"/>
      <family val="2"/>
      <scheme val="minor"/>
    </font>
    <font>
      <b/>
      <i/>
      <sz val="7"/>
      <color indexed="6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7"/>
      <name val="Calibri"/>
      <family val="2"/>
      <scheme val="minor"/>
    </font>
    <font>
      <b/>
      <i/>
      <sz val="8"/>
      <color indexed="10"/>
      <name val="Calibri"/>
      <family val="2"/>
      <scheme val="minor"/>
    </font>
    <font>
      <b/>
      <i/>
      <sz val="8"/>
      <color indexed="57"/>
      <name val="Calibri"/>
      <family val="2"/>
      <scheme val="minor"/>
    </font>
    <font>
      <sz val="7"/>
      <name val="Calibri"/>
      <family val="2"/>
      <scheme val="minor"/>
    </font>
    <font>
      <i/>
      <sz val="12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b/>
      <i/>
      <sz val="8"/>
      <color indexed="62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9"/>
      <color indexed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0" fillId="0" borderId="0" xfId="0" applyProtection="1">
      <protection hidden="1"/>
    </xf>
    <xf numFmtId="0" fontId="5" fillId="0" borderId="0" xfId="0" applyFont="1"/>
    <xf numFmtId="0" fontId="4" fillId="0" borderId="0" xfId="0" applyFont="1"/>
    <xf numFmtId="2" fontId="0" fillId="0" borderId="0" xfId="0" applyNumberFormat="1"/>
    <xf numFmtId="0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2" fontId="1" fillId="3" borderId="0" xfId="0" applyNumberFormat="1" applyFont="1" applyFill="1" applyProtection="1">
      <protection hidden="1"/>
    </xf>
    <xf numFmtId="0" fontId="0" fillId="3" borderId="0" xfId="0" applyFill="1"/>
    <xf numFmtId="0" fontId="9" fillId="3" borderId="0" xfId="1" applyFont="1" applyFill="1" applyAlignment="1" applyProtection="1"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0" fillId="3" borderId="0" xfId="0" applyFill="1" applyProtection="1">
      <protection locked="0"/>
    </xf>
    <xf numFmtId="0" fontId="4" fillId="3" borderId="0" xfId="0" applyFont="1" applyFill="1"/>
    <xf numFmtId="2" fontId="4" fillId="3" borderId="0" xfId="0" applyNumberFormat="1" applyFont="1" applyFill="1" applyProtection="1">
      <protection hidden="1"/>
    </xf>
    <xf numFmtId="0" fontId="2" fillId="3" borderId="0" xfId="0" applyFont="1" applyFill="1" applyProtection="1">
      <protection hidden="1"/>
    </xf>
    <xf numFmtId="2" fontId="0" fillId="3" borderId="0" xfId="0" applyNumberFormat="1" applyFill="1"/>
    <xf numFmtId="2" fontId="12" fillId="3" borderId="0" xfId="0" applyNumberFormat="1" applyFont="1" applyFill="1" applyBorder="1" applyAlignment="1" applyProtection="1">
      <alignment horizontal="center" vertical="center"/>
      <protection locked="0"/>
    </xf>
    <xf numFmtId="2" fontId="13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2" fontId="21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Protection="1">
      <protection locked="0"/>
    </xf>
    <xf numFmtId="2" fontId="19" fillId="3" borderId="0" xfId="0" applyNumberFormat="1" applyFont="1" applyFill="1" applyProtection="1">
      <protection locked="0"/>
    </xf>
    <xf numFmtId="2" fontId="20" fillId="3" borderId="0" xfId="0" applyNumberFormat="1" applyFont="1" applyFill="1" applyProtection="1">
      <protection locked="0"/>
    </xf>
    <xf numFmtId="166" fontId="4" fillId="3" borderId="0" xfId="0" applyNumberFormat="1" applyFont="1" applyFill="1" applyProtection="1">
      <protection locked="0"/>
    </xf>
    <xf numFmtId="0" fontId="15" fillId="3" borderId="0" xfId="0" applyFont="1" applyFill="1" applyProtection="1">
      <protection locked="0"/>
    </xf>
    <xf numFmtId="2" fontId="14" fillId="3" borderId="0" xfId="0" applyNumberFormat="1" applyFont="1" applyFill="1" applyProtection="1">
      <protection locked="0"/>
    </xf>
    <xf numFmtId="0" fontId="20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10" fillId="3" borderId="0" xfId="1" applyFont="1" applyFill="1" applyAlignment="1" applyProtection="1">
      <protection locked="0"/>
    </xf>
    <xf numFmtId="0" fontId="6" fillId="3" borderId="0" xfId="1" applyFill="1" applyAlignment="1" applyProtection="1">
      <protection locked="0"/>
    </xf>
    <xf numFmtId="0" fontId="11" fillId="3" borderId="0" xfId="0" applyFont="1" applyFill="1" applyProtection="1">
      <protection locked="0"/>
    </xf>
    <xf numFmtId="2" fontId="11" fillId="3" borderId="0" xfId="0" applyNumberFormat="1" applyFont="1" applyFill="1" applyProtection="1">
      <protection locked="0"/>
    </xf>
    <xf numFmtId="0" fontId="2" fillId="3" borderId="0" xfId="0" applyFont="1" applyFill="1" applyProtection="1">
      <protection locked="0"/>
    </xf>
    <xf numFmtId="0" fontId="16" fillId="3" borderId="0" xfId="0" applyFont="1" applyFill="1" applyProtection="1">
      <protection locked="0"/>
    </xf>
    <xf numFmtId="2" fontId="17" fillId="3" borderId="0" xfId="0" applyNumberFormat="1" applyFont="1" applyFill="1" applyProtection="1">
      <protection locked="0"/>
    </xf>
    <xf numFmtId="0" fontId="0" fillId="0" borderId="0" xfId="0" applyFill="1"/>
    <xf numFmtId="0" fontId="22" fillId="3" borderId="0" xfId="0" applyFont="1" applyFill="1"/>
    <xf numFmtId="2" fontId="23" fillId="3" borderId="0" xfId="0" applyNumberFormat="1" applyFont="1" applyFill="1"/>
    <xf numFmtId="2" fontId="20" fillId="3" borderId="0" xfId="0" applyNumberFormat="1" applyFont="1" applyFill="1"/>
    <xf numFmtId="2" fontId="24" fillId="3" borderId="0" xfId="0" applyNumberFormat="1" applyFont="1" applyFill="1"/>
    <xf numFmtId="0" fontId="18" fillId="3" borderId="0" xfId="0" applyFont="1" applyFill="1" applyProtection="1"/>
    <xf numFmtId="0" fontId="15" fillId="3" borderId="0" xfId="0" applyFont="1" applyFill="1" applyProtection="1"/>
    <xf numFmtId="2" fontId="19" fillId="3" borderId="0" xfId="0" applyNumberFormat="1" applyFont="1" applyFill="1" applyProtection="1"/>
    <xf numFmtId="2" fontId="14" fillId="3" borderId="0" xfId="0" applyNumberFormat="1" applyFont="1" applyFill="1" applyProtection="1"/>
    <xf numFmtId="0" fontId="10" fillId="3" borderId="0" xfId="1" applyFont="1" applyFill="1" applyAlignment="1" applyProtection="1">
      <protection hidden="1"/>
    </xf>
    <xf numFmtId="0" fontId="3" fillId="4" borderId="0" xfId="0" applyFont="1" applyFill="1"/>
    <xf numFmtId="0" fontId="26" fillId="3" borderId="0" xfId="0" applyFont="1" applyFill="1"/>
    <xf numFmtId="0" fontId="27" fillId="3" borderId="0" xfId="0" applyFont="1" applyFill="1" applyProtection="1">
      <protection locked="0"/>
    </xf>
    <xf numFmtId="0" fontId="26" fillId="3" borderId="0" xfId="0" applyFont="1" applyFill="1" applyAlignment="1">
      <alignment horizontal="right"/>
    </xf>
    <xf numFmtId="0" fontId="27" fillId="3" borderId="0" xfId="0" applyFont="1" applyFill="1"/>
    <xf numFmtId="0" fontId="28" fillId="3" borderId="0" xfId="0" applyFont="1" applyFill="1"/>
    <xf numFmtId="0" fontId="29" fillId="3" borderId="0" xfId="0" applyFont="1" applyFill="1"/>
    <xf numFmtId="0" fontId="28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164" fontId="27" fillId="0" borderId="1" xfId="0" applyNumberFormat="1" applyFont="1" applyFill="1" applyBorder="1" applyProtection="1">
      <protection locked="0"/>
    </xf>
    <xf numFmtId="164" fontId="30" fillId="2" borderId="1" xfId="0" applyNumberFormat="1" applyFont="1" applyFill="1" applyBorder="1" applyProtection="1">
      <protection hidden="1"/>
    </xf>
    <xf numFmtId="165" fontId="27" fillId="0" borderId="1" xfId="0" applyNumberFormat="1" applyFont="1" applyFill="1" applyBorder="1" applyProtection="1">
      <protection locked="0"/>
    </xf>
    <xf numFmtId="165" fontId="30" fillId="2" borderId="1" xfId="0" applyNumberFormat="1" applyFont="1" applyFill="1" applyBorder="1" applyProtection="1">
      <protection hidden="1"/>
    </xf>
    <xf numFmtId="0" fontId="27" fillId="3" borderId="0" xfId="0" applyFont="1" applyFill="1" applyProtection="1">
      <protection hidden="1"/>
    </xf>
    <xf numFmtId="0" fontId="26" fillId="3" borderId="0" xfId="0" applyFont="1" applyFill="1" applyProtection="1">
      <protection hidden="1"/>
    </xf>
    <xf numFmtId="165" fontId="27" fillId="3" borderId="0" xfId="0" applyNumberFormat="1" applyFont="1" applyFill="1" applyProtection="1">
      <protection hidden="1"/>
    </xf>
    <xf numFmtId="2" fontId="27" fillId="0" borderId="1" xfId="0" applyNumberFormat="1" applyFont="1" applyFill="1" applyBorder="1" applyProtection="1">
      <protection locked="0"/>
    </xf>
    <xf numFmtId="0" fontId="31" fillId="3" borderId="0" xfId="1" applyFont="1" applyFill="1" applyAlignment="1" applyProtection="1"/>
    <xf numFmtId="0" fontId="31" fillId="3" borderId="0" xfId="1" applyFont="1" applyFill="1" applyAlignment="1" applyProtection="1">
      <alignment horizontal="left"/>
    </xf>
    <xf numFmtId="2" fontId="26" fillId="3" borderId="0" xfId="0" applyNumberFormat="1" applyFont="1" applyFill="1" applyProtection="1">
      <protection hidden="1"/>
    </xf>
    <xf numFmtId="165" fontId="30" fillId="4" borderId="3" xfId="0" applyNumberFormat="1" applyFont="1" applyFill="1" applyBorder="1" applyProtection="1">
      <protection hidden="1"/>
    </xf>
    <xf numFmtId="0" fontId="26" fillId="4" borderId="0" xfId="0" applyFont="1" applyFill="1" applyAlignment="1">
      <alignment horizontal="right"/>
    </xf>
    <xf numFmtId="0" fontId="32" fillId="4" borderId="2" xfId="0" applyFont="1" applyFill="1" applyBorder="1" applyProtection="1">
      <protection locked="0"/>
    </xf>
    <xf numFmtId="0" fontId="32" fillId="4" borderId="3" xfId="0" applyFont="1" applyFill="1" applyBorder="1" applyProtection="1">
      <protection locked="0"/>
    </xf>
    <xf numFmtId="0" fontId="32" fillId="4" borderId="4" xfId="0" applyFont="1" applyFill="1" applyBorder="1" applyProtection="1">
      <protection locked="0"/>
    </xf>
    <xf numFmtId="14" fontId="33" fillId="4" borderId="1" xfId="0" applyNumberFormat="1" applyFont="1" applyFill="1" applyBorder="1" applyProtection="1">
      <protection locked="0"/>
    </xf>
    <xf numFmtId="0" fontId="33" fillId="4" borderId="0" xfId="0" applyFont="1" applyFill="1" applyProtection="1">
      <protection locked="0"/>
    </xf>
    <xf numFmtId="14" fontId="33" fillId="4" borderId="5" xfId="0" applyNumberFormat="1" applyFont="1" applyFill="1" applyBorder="1" applyProtection="1">
      <protection locked="0"/>
    </xf>
    <xf numFmtId="2" fontId="33" fillId="4" borderId="0" xfId="0" applyNumberFormat="1" applyFont="1" applyFill="1" applyProtection="1"/>
    <xf numFmtId="0" fontId="33" fillId="4" borderId="2" xfId="0" applyFont="1" applyFill="1" applyBorder="1" applyProtection="1">
      <protection locked="0"/>
    </xf>
    <xf numFmtId="0" fontId="33" fillId="4" borderId="3" xfId="0" applyFont="1" applyFill="1" applyBorder="1" applyProtection="1">
      <protection locked="0"/>
    </xf>
    <xf numFmtId="0" fontId="33" fillId="4" borderId="4" xfId="0" applyFont="1" applyFill="1" applyBorder="1" applyProtection="1">
      <protection locked="0"/>
    </xf>
    <xf numFmtId="0" fontId="33" fillId="4" borderId="1" xfId="0" applyFont="1" applyFill="1" applyBorder="1" applyAlignment="1" applyProtection="1">
      <alignment horizontal="right"/>
      <protection locked="0"/>
    </xf>
    <xf numFmtId="0" fontId="31" fillId="3" borderId="0" xfId="1" applyFont="1" applyFill="1" applyAlignment="1" applyProtection="1">
      <protection hidden="1"/>
    </xf>
    <xf numFmtId="0" fontId="34" fillId="0" borderId="0" xfId="0" applyFont="1" applyAlignment="1" applyProtection="1">
      <protection hidden="1"/>
    </xf>
    <xf numFmtId="0" fontId="35" fillId="0" borderId="0" xfId="0" applyFont="1" applyProtection="1">
      <protection hidden="1"/>
    </xf>
    <xf numFmtId="0" fontId="29" fillId="3" borderId="0" xfId="0" applyFont="1" applyFill="1" applyProtection="1">
      <protection hidden="1"/>
    </xf>
    <xf numFmtId="0" fontId="36" fillId="3" borderId="0" xfId="0" applyFont="1" applyFill="1"/>
    <xf numFmtId="2" fontId="36" fillId="3" borderId="0" xfId="0" applyNumberFormat="1" applyFont="1" applyFill="1"/>
    <xf numFmtId="0" fontId="27" fillId="3" borderId="0" xfId="0" applyFont="1" applyFill="1" applyAlignment="1" applyProtection="1">
      <alignment horizontal="right"/>
      <protection hidden="1"/>
    </xf>
    <xf numFmtId="0" fontId="29" fillId="4" borderId="0" xfId="0" applyFont="1" applyFill="1" applyProtection="1">
      <protection hidden="1"/>
    </xf>
    <xf numFmtId="0" fontId="27" fillId="4" borderId="0" xfId="0" applyFont="1" applyFill="1" applyProtection="1">
      <protection hidden="1"/>
    </xf>
    <xf numFmtId="0" fontId="0" fillId="4" borderId="0" xfId="0" applyFill="1"/>
    <xf numFmtId="0" fontId="26" fillId="4" borderId="1" xfId="0" applyFont="1" applyFill="1" applyBorder="1" applyProtection="1">
      <protection hidden="1"/>
    </xf>
    <xf numFmtId="2" fontId="26" fillId="4" borderId="1" xfId="0" applyNumberFormat="1" applyFont="1" applyFill="1" applyBorder="1" applyProtection="1">
      <protection hidden="1"/>
    </xf>
    <xf numFmtId="0" fontId="34" fillId="3" borderId="1" xfId="0" applyFont="1" applyFill="1" applyBorder="1" applyAlignment="1" applyProtection="1">
      <alignment horizontal="right"/>
      <protection hidden="1"/>
    </xf>
    <xf numFmtId="0" fontId="35" fillId="4" borderId="0" xfId="0" applyFont="1" applyFill="1" applyProtection="1">
      <protection hidden="1"/>
    </xf>
    <xf numFmtId="0" fontId="29" fillId="4" borderId="2" xfId="0" applyFont="1" applyFill="1" applyBorder="1" applyProtection="1">
      <protection hidden="1"/>
    </xf>
    <xf numFmtId="0" fontId="29" fillId="4" borderId="3" xfId="0" applyFont="1" applyFill="1" applyBorder="1" applyProtection="1">
      <protection hidden="1"/>
    </xf>
    <xf numFmtId="0" fontId="27" fillId="4" borderId="4" xfId="0" applyFont="1" applyFill="1" applyBorder="1" applyProtection="1">
      <protection hidden="1"/>
    </xf>
    <xf numFmtId="2" fontId="29" fillId="4" borderId="1" xfId="0" applyNumberFormat="1" applyFont="1" applyFill="1" applyBorder="1" applyProtection="1">
      <protection hidden="1"/>
    </xf>
    <xf numFmtId="0" fontId="38" fillId="4" borderId="3" xfId="0" applyFont="1" applyFill="1" applyBorder="1" applyProtection="1">
      <protection hidden="1"/>
    </xf>
    <xf numFmtId="2" fontId="37" fillId="4" borderId="1" xfId="0" applyNumberFormat="1" applyFont="1" applyFill="1" applyBorder="1" applyProtection="1">
      <protection hidden="1"/>
    </xf>
    <xf numFmtId="0" fontId="27" fillId="4" borderId="0" xfId="0" applyFont="1" applyFill="1"/>
    <xf numFmtId="0" fontId="29" fillId="4" borderId="4" xfId="0" applyFont="1" applyFill="1" applyBorder="1" applyProtection="1">
      <protection hidden="1"/>
    </xf>
    <xf numFmtId="0" fontId="38" fillId="4" borderId="2" xfId="0" applyFont="1" applyFill="1" applyBorder="1" applyProtection="1">
      <protection hidden="1"/>
    </xf>
    <xf numFmtId="10" fontId="39" fillId="4" borderId="1" xfId="0" applyNumberFormat="1" applyFont="1" applyFill="1" applyBorder="1" applyProtection="1">
      <protection hidden="1"/>
    </xf>
    <xf numFmtId="0" fontId="25" fillId="3" borderId="0" xfId="1" applyFont="1" applyFill="1" applyAlignment="1" applyProtection="1">
      <protection hidden="1"/>
    </xf>
    <xf numFmtId="0" fontId="27" fillId="0" borderId="0" xfId="0" applyFont="1"/>
    <xf numFmtId="0" fontId="40" fillId="3" borderId="0" xfId="1" applyFont="1" applyFill="1" applyAlignment="1" applyProtection="1"/>
    <xf numFmtId="0" fontId="40" fillId="3" borderId="0" xfId="1" applyFont="1" applyFill="1" applyAlignment="1" applyProtection="1">
      <protection hidden="1"/>
    </xf>
    <xf numFmtId="2" fontId="41" fillId="3" borderId="0" xfId="0" applyNumberFormat="1" applyFont="1" applyFill="1"/>
    <xf numFmtId="0" fontId="35" fillId="3" borderId="0" xfId="0" applyFont="1" applyFill="1" applyAlignment="1" applyProtection="1">
      <alignment horizontal="center"/>
      <protection hidden="1"/>
    </xf>
    <xf numFmtId="2" fontId="27" fillId="3" borderId="0" xfId="0" applyNumberFormat="1" applyFont="1" applyFill="1"/>
    <xf numFmtId="0" fontId="43" fillId="3" borderId="0" xfId="0" applyFont="1" applyFill="1" applyAlignment="1" applyProtection="1">
      <alignment horizontal="center"/>
      <protection hidden="1"/>
    </xf>
    <xf numFmtId="0" fontId="44" fillId="3" borderId="0" xfId="0" applyFont="1" applyFill="1" applyProtection="1">
      <protection hidden="1"/>
    </xf>
    <xf numFmtId="0" fontId="45" fillId="3" borderId="0" xfId="0" applyFont="1" applyFill="1" applyBorder="1" applyAlignment="1" applyProtection="1">
      <alignment horizontal="center" vertical="center"/>
      <protection locked="0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0" fontId="47" fillId="3" borderId="0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/>
    <xf numFmtId="2" fontId="49" fillId="3" borderId="0" xfId="0" applyNumberFormat="1" applyFont="1" applyFill="1" applyBorder="1" applyAlignment="1" applyProtection="1">
      <alignment horizontal="center" vertical="center"/>
      <protection locked="0"/>
    </xf>
    <xf numFmtId="2" fontId="50" fillId="3" borderId="0" xfId="0" applyNumberFormat="1" applyFont="1" applyFill="1" applyBorder="1" applyAlignment="1" applyProtection="1">
      <alignment horizontal="center" vertical="center"/>
      <protection locked="0"/>
    </xf>
    <xf numFmtId="2" fontId="37" fillId="3" borderId="0" xfId="0" applyNumberFormat="1" applyFont="1" applyFill="1" applyBorder="1" applyAlignment="1" applyProtection="1">
      <alignment horizontal="center" vertical="center"/>
      <protection locked="0"/>
    </xf>
    <xf numFmtId="2" fontId="26" fillId="3" borderId="0" xfId="0" applyNumberFormat="1" applyFont="1" applyFill="1" applyBorder="1" applyAlignment="1" applyProtection="1">
      <alignment horizontal="center" vertical="center"/>
      <protection locked="0"/>
    </xf>
    <xf numFmtId="2" fontId="49" fillId="3" borderId="0" xfId="0" applyNumberFormat="1" applyFont="1" applyFill="1" applyBorder="1" applyAlignment="1" applyProtection="1">
      <alignment horizontal="center" vertical="center"/>
      <protection hidden="1"/>
    </xf>
    <xf numFmtId="2" fontId="52" fillId="3" borderId="0" xfId="0" applyNumberFormat="1" applyFont="1" applyFill="1" applyBorder="1" applyAlignment="1" applyProtection="1">
      <alignment horizontal="center" vertical="center"/>
      <protection hidden="1"/>
    </xf>
    <xf numFmtId="2" fontId="37" fillId="3" borderId="0" xfId="0" applyNumberFormat="1" applyFont="1" applyFill="1" applyBorder="1" applyAlignment="1" applyProtection="1">
      <alignment horizontal="center" vertical="center"/>
      <protection hidden="1"/>
    </xf>
    <xf numFmtId="2" fontId="26" fillId="3" borderId="0" xfId="0" applyNumberFormat="1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Border="1" applyProtection="1">
      <protection hidden="1"/>
    </xf>
    <xf numFmtId="2" fontId="56" fillId="3" borderId="0" xfId="0" applyNumberFormat="1" applyFont="1" applyFill="1" applyBorder="1" applyAlignment="1" applyProtection="1">
      <alignment horizontal="center" vertical="center"/>
      <protection locked="0"/>
    </xf>
    <xf numFmtId="2" fontId="42" fillId="3" borderId="0" xfId="0" applyNumberFormat="1" applyFont="1" applyFill="1" applyBorder="1" applyAlignment="1" applyProtection="1">
      <alignment horizontal="center" vertical="center"/>
      <protection hidden="1"/>
    </xf>
    <xf numFmtId="0" fontId="57" fillId="0" borderId="0" xfId="0" applyFont="1" applyProtection="1">
      <protection locked="0"/>
    </xf>
    <xf numFmtId="0" fontId="57" fillId="0" borderId="0" xfId="0" applyFont="1" applyAlignment="1" applyProtection="1">
      <alignment horizontal="center" vertical="center"/>
      <protection locked="0"/>
    </xf>
    <xf numFmtId="2" fontId="58" fillId="0" borderId="1" xfId="0" applyNumberFormat="1" applyFont="1" applyBorder="1" applyProtection="1">
      <protection locked="0"/>
    </xf>
    <xf numFmtId="2" fontId="59" fillId="3" borderId="0" xfId="0" applyNumberFormat="1" applyFont="1" applyFill="1" applyBorder="1" applyAlignment="1" applyProtection="1">
      <alignment horizontal="center" vertical="center"/>
      <protection locked="0"/>
    </xf>
    <xf numFmtId="0" fontId="60" fillId="3" borderId="0" xfId="0" applyFont="1" applyFill="1" applyProtection="1">
      <protection locked="0"/>
    </xf>
    <xf numFmtId="2" fontId="57" fillId="3" borderId="0" xfId="0" applyNumberFormat="1" applyFont="1" applyFill="1" applyProtection="1">
      <protection locked="0"/>
    </xf>
    <xf numFmtId="2" fontId="55" fillId="3" borderId="0" xfId="0" applyNumberFormat="1" applyFont="1" applyFill="1" applyProtection="1">
      <protection locked="0"/>
    </xf>
    <xf numFmtId="0" fontId="55" fillId="3" borderId="0" xfId="0" applyFont="1" applyFill="1" applyProtection="1">
      <protection locked="0"/>
    </xf>
    <xf numFmtId="2" fontId="40" fillId="4" borderId="0" xfId="1" applyNumberFormat="1" applyFont="1" applyFill="1" applyAlignment="1" applyProtection="1"/>
    <xf numFmtId="2" fontId="27" fillId="4" borderId="0" xfId="0" applyNumberFormat="1" applyFont="1" applyFill="1"/>
    <xf numFmtId="0" fontId="42" fillId="4" borderId="0" xfId="0" applyFont="1" applyFill="1" applyAlignment="1" applyProtection="1">
      <alignment horizontal="left"/>
      <protection hidden="1"/>
    </xf>
    <xf numFmtId="0" fontId="27" fillId="4" borderId="0" xfId="0" applyFont="1" applyFill="1" applyAlignment="1" applyProtection="1">
      <alignment horizontal="left"/>
      <protection hidden="1"/>
    </xf>
    <xf numFmtId="2" fontId="27" fillId="4" borderId="0" xfId="0" applyNumberFormat="1" applyFont="1" applyFill="1" applyAlignment="1">
      <alignment horizontal="left"/>
    </xf>
    <xf numFmtId="0" fontId="26" fillId="4" borderId="0" xfId="0" applyFont="1" applyFill="1"/>
    <xf numFmtId="2" fontId="49" fillId="4" borderId="0" xfId="0" applyNumberFormat="1" applyFont="1" applyFill="1" applyBorder="1" applyAlignment="1" applyProtection="1">
      <alignment horizontal="center" vertical="center"/>
      <protection locked="0"/>
    </xf>
    <xf numFmtId="2" fontId="50" fillId="4" borderId="0" xfId="0" applyNumberFormat="1" applyFont="1" applyFill="1" applyBorder="1" applyAlignment="1" applyProtection="1">
      <alignment horizontal="center" vertical="center"/>
      <protection locked="0"/>
    </xf>
    <xf numFmtId="2" fontId="37" fillId="4" borderId="0" xfId="0" applyNumberFormat="1" applyFont="1" applyFill="1" applyBorder="1" applyAlignment="1" applyProtection="1">
      <alignment horizontal="center" vertical="center"/>
      <protection locked="0"/>
    </xf>
    <xf numFmtId="2" fontId="26" fillId="4" borderId="0" xfId="0" applyNumberFormat="1" applyFont="1" applyFill="1" applyBorder="1" applyAlignment="1" applyProtection="1">
      <alignment horizontal="center" vertical="center"/>
      <protection locked="0"/>
    </xf>
    <xf numFmtId="2" fontId="54" fillId="5" borderId="1" xfId="0" applyNumberFormat="1" applyFont="1" applyFill="1" applyBorder="1" applyProtection="1">
      <protection hidden="1"/>
    </xf>
    <xf numFmtId="2" fontId="54" fillId="5" borderId="2" xfId="0" applyNumberFormat="1" applyFont="1" applyFill="1" applyBorder="1" applyProtection="1">
      <protection hidden="1"/>
    </xf>
    <xf numFmtId="2" fontId="55" fillId="5" borderId="1" xfId="0" applyNumberFormat="1" applyFont="1" applyFill="1" applyBorder="1" applyAlignment="1" applyProtection="1">
      <alignment horizontal="right" vertical="center"/>
      <protection hidden="1"/>
    </xf>
    <xf numFmtId="2" fontId="55" fillId="5" borderId="1" xfId="0" applyNumberFormat="1" applyFont="1" applyFill="1" applyBorder="1" applyAlignment="1">
      <alignment horizontal="right" vertical="center"/>
    </xf>
    <xf numFmtId="0" fontId="26" fillId="4" borderId="6" xfId="0" applyFont="1" applyFill="1" applyBorder="1" applyProtection="1">
      <protection hidden="1"/>
    </xf>
    <xf numFmtId="0" fontId="26" fillId="4" borderId="7" xfId="0" applyFont="1" applyFill="1" applyBorder="1" applyProtection="1">
      <protection hidden="1"/>
    </xf>
    <xf numFmtId="2" fontId="48" fillId="4" borderId="8" xfId="0" applyNumberFormat="1" applyFont="1" applyFill="1" applyBorder="1" applyAlignment="1" applyProtection="1">
      <alignment horizontal="center"/>
      <protection hidden="1"/>
    </xf>
    <xf numFmtId="0" fontId="27" fillId="3" borderId="9" xfId="0" applyFont="1" applyFill="1" applyBorder="1" applyProtection="1">
      <protection hidden="1"/>
    </xf>
    <xf numFmtId="0" fontId="27" fillId="3" borderId="10" xfId="0" applyFont="1" applyFill="1" applyBorder="1" applyProtection="1">
      <protection hidden="1"/>
    </xf>
    <xf numFmtId="2" fontId="51" fillId="3" borderId="11" xfId="0" applyNumberFormat="1" applyFont="1" applyFill="1" applyBorder="1" applyAlignment="1" applyProtection="1">
      <alignment horizontal="center"/>
      <protection hidden="1"/>
    </xf>
    <xf numFmtId="0" fontId="27" fillId="4" borderId="7" xfId="0" applyFont="1" applyFill="1" applyBorder="1" applyProtection="1">
      <protection hidden="1"/>
    </xf>
    <xf numFmtId="0" fontId="27" fillId="4" borderId="9" xfId="0" applyFont="1" applyFill="1" applyBorder="1" applyProtection="1">
      <protection hidden="1"/>
    </xf>
    <xf numFmtId="0" fontId="27" fillId="4" borderId="10" xfId="0" applyFont="1" applyFill="1" applyBorder="1" applyProtection="1">
      <protection hidden="1"/>
    </xf>
    <xf numFmtId="2" fontId="51" fillId="4" borderId="11" xfId="0" applyNumberFormat="1" applyFont="1" applyFill="1" applyBorder="1" applyAlignment="1" applyProtection="1">
      <alignment horizontal="center"/>
      <protection hidden="1"/>
    </xf>
    <xf numFmtId="0" fontId="53" fillId="5" borderId="4" xfId="0" applyFont="1" applyFill="1" applyBorder="1" applyProtection="1">
      <protection hidden="1"/>
    </xf>
    <xf numFmtId="0" fontId="26" fillId="3" borderId="10" xfId="0" applyFont="1" applyFill="1" applyBorder="1" applyAlignment="1" applyProtection="1">
      <alignment horizontal="center" vertical="center"/>
      <protection hidden="1"/>
    </xf>
    <xf numFmtId="2" fontId="27" fillId="3" borderId="11" xfId="0" applyNumberFormat="1" applyFont="1" applyFill="1" applyBorder="1"/>
    <xf numFmtId="0" fontId="43" fillId="4" borderId="0" xfId="0" applyFont="1" applyFill="1" applyProtection="1">
      <protection hidden="1"/>
    </xf>
    <xf numFmtId="0" fontId="44" fillId="4" borderId="0" xfId="0" applyFont="1" applyFill="1" applyProtection="1">
      <protection hidden="1"/>
    </xf>
    <xf numFmtId="0" fontId="25" fillId="4" borderId="0" xfId="1" applyFont="1" applyFill="1" applyAlignment="1" applyProtection="1">
      <protection hidden="1"/>
    </xf>
    <xf numFmtId="0" fontId="43" fillId="3" borderId="0" xfId="0" applyFont="1" applyFill="1" applyProtection="1">
      <protection hidden="1"/>
    </xf>
    <xf numFmtId="0" fontId="61" fillId="3" borderId="0" xfId="0" applyFont="1" applyFill="1" applyProtection="1">
      <protection hidden="1"/>
    </xf>
    <xf numFmtId="0" fontId="63" fillId="3" borderId="0" xfId="0" applyFont="1" applyFill="1"/>
    <xf numFmtId="0" fontId="63" fillId="3" borderId="0" xfId="0" applyFont="1" applyFill="1" applyProtection="1">
      <protection hidden="1"/>
    </xf>
    <xf numFmtId="0" fontId="64" fillId="3" borderId="0" xfId="0" applyFont="1" applyFill="1" applyProtection="1">
      <protection hidden="1"/>
    </xf>
    <xf numFmtId="0" fontId="65" fillId="2" borderId="0" xfId="0" applyFont="1" applyFill="1"/>
    <xf numFmtId="0" fontId="27" fillId="2" borderId="0" xfId="0" applyFont="1" applyFill="1"/>
    <xf numFmtId="0" fontId="27" fillId="4" borderId="8" xfId="0" applyFont="1" applyFill="1" applyBorder="1" applyProtection="1">
      <protection hidden="1"/>
    </xf>
    <xf numFmtId="0" fontId="27" fillId="4" borderId="13" xfId="0" applyFont="1" applyFill="1" applyBorder="1" applyProtection="1">
      <protection hidden="1"/>
    </xf>
    <xf numFmtId="0" fontId="26" fillId="4" borderId="10" xfId="0" applyFont="1" applyFill="1" applyBorder="1" applyProtection="1">
      <protection hidden="1"/>
    </xf>
    <xf numFmtId="0" fontId="27" fillId="4" borderId="11" xfId="0" applyFont="1" applyFill="1" applyBorder="1" applyProtection="1">
      <protection hidden="1"/>
    </xf>
    <xf numFmtId="0" fontId="26" fillId="4" borderId="2" xfId="0" applyFont="1" applyFill="1" applyBorder="1" applyProtection="1">
      <protection hidden="1"/>
    </xf>
    <xf numFmtId="0" fontId="26" fillId="4" borderId="3" xfId="0" applyFont="1" applyFill="1" applyBorder="1" applyProtection="1">
      <protection hidden="1"/>
    </xf>
    <xf numFmtId="0" fontId="27" fillId="4" borderId="3" xfId="0" applyFont="1" applyFill="1" applyBorder="1" applyProtection="1">
      <protection hidden="1"/>
    </xf>
    <xf numFmtId="0" fontId="28" fillId="4" borderId="1" xfId="0" applyFont="1" applyFill="1" applyBorder="1" applyAlignment="1">
      <alignment horizontal="center"/>
    </xf>
    <xf numFmtId="2" fontId="26" fillId="6" borderId="1" xfId="0" applyNumberFormat="1" applyFont="1" applyFill="1" applyBorder="1" applyProtection="1">
      <protection hidden="1"/>
    </xf>
    <xf numFmtId="0" fontId="66" fillId="3" borderId="0" xfId="1" applyFont="1" applyFill="1" applyAlignment="1" applyProtection="1">
      <protection hidden="1"/>
    </xf>
    <xf numFmtId="2" fontId="67" fillId="3" borderId="0" xfId="1" applyNumberFormat="1" applyFont="1" applyFill="1" applyAlignment="1" applyProtection="1">
      <protection hidden="1"/>
    </xf>
    <xf numFmtId="0" fontId="26" fillId="4" borderId="6" xfId="0" applyFont="1" applyFill="1" applyBorder="1"/>
    <xf numFmtId="2" fontId="26" fillId="4" borderId="7" xfId="0" applyNumberFormat="1" applyFont="1" applyFill="1" applyBorder="1" applyProtection="1">
      <protection hidden="1"/>
    </xf>
    <xf numFmtId="0" fontId="27" fillId="4" borderId="9" xfId="0" applyFont="1" applyFill="1" applyBorder="1"/>
    <xf numFmtId="0" fontId="27" fillId="4" borderId="10" xfId="0" applyFont="1" applyFill="1" applyBorder="1"/>
    <xf numFmtId="0" fontId="27" fillId="4" borderId="12" xfId="0" applyFont="1" applyFill="1" applyBorder="1"/>
    <xf numFmtId="0" fontId="27" fillId="4" borderId="0" xfId="0" applyFont="1" applyFill="1" applyBorder="1"/>
    <xf numFmtId="2" fontId="26" fillId="4" borderId="10" xfId="0" applyNumberFormat="1" applyFont="1" applyFill="1" applyBorder="1" applyProtection="1">
      <protection hidden="1"/>
    </xf>
    <xf numFmtId="0" fontId="27" fillId="4" borderId="7" xfId="0" applyFont="1" applyFill="1" applyBorder="1"/>
    <xf numFmtId="0" fontId="27" fillId="0" borderId="0" xfId="0" applyFont="1" applyFill="1" applyProtection="1">
      <protection hidden="1"/>
    </xf>
    <xf numFmtId="0" fontId="27" fillId="0" borderId="0" xfId="0" applyFont="1" applyFill="1"/>
    <xf numFmtId="0" fontId="28" fillId="4" borderId="2" xfId="0" applyFont="1" applyFill="1" applyBorder="1" applyAlignment="1">
      <alignment horizontal="center"/>
    </xf>
    <xf numFmtId="0" fontId="62" fillId="4" borderId="2" xfId="0" applyNumberFormat="1" applyFont="1" applyFill="1" applyBorder="1" applyAlignment="1" applyProtection="1">
      <protection hidden="1"/>
    </xf>
    <xf numFmtId="0" fontId="62" fillId="4" borderId="2" xfId="0" applyNumberFormat="1" applyFont="1" applyFill="1" applyBorder="1" applyProtection="1">
      <protection hidden="1"/>
    </xf>
    <xf numFmtId="2" fontId="0" fillId="4" borderId="0" xfId="0" applyNumberFormat="1" applyFill="1"/>
    <xf numFmtId="0" fontId="15" fillId="3" borderId="0" xfId="0" applyFont="1" applyFill="1"/>
    <xf numFmtId="0" fontId="6" fillId="3" borderId="0" xfId="1" applyFill="1" applyBorder="1" applyAlignment="1" applyProtection="1">
      <alignment horizontal="center"/>
      <protection hidden="1"/>
    </xf>
    <xf numFmtId="2" fontId="30" fillId="2" borderId="1" xfId="0" applyNumberFormat="1" applyFont="1" applyFill="1" applyBorder="1" applyProtection="1"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view3D>
      <c:rotX val="60"/>
      <c:perspective val="0"/>
    </c:view3D>
    <c:plotArea>
      <c:layout>
        <c:manualLayout>
          <c:layoutTarget val="inner"/>
          <c:xMode val="edge"/>
          <c:yMode val="edge"/>
          <c:x val="0.15248253352610688"/>
          <c:y val="0.16470619773705156"/>
          <c:w val="0.69680971715999984"/>
          <c:h val="0.72353079720204738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2.5087506566243117E-2"/>
                  <c:y val="-7.305422426748484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2.9951263059115159E-2"/>
                  <c:y val="-1.9419395119353162E-2"/>
                </c:manualLayout>
              </c:layout>
              <c:numFmt formatCode="0.00%" sourceLinked="0"/>
              <c:spPr>
                <a:effectLst>
                  <a:outerShdw dist="50800" dir="540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1.8705526937756862E-2"/>
                  <c:y val="1.370220860758590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2.1412082184473002E-2"/>
                  <c:y val="5.3138759142992383E-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2.4235473835703882E-2"/>
                  <c:y val="-1.73845744149662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Fraccionamiento!$G$6:$G$10</c:f>
              <c:strCache>
                <c:ptCount val="5"/>
                <c:pt idx="0">
                  <c:v>M. Muscular</c:v>
                </c:pt>
                <c:pt idx="1">
                  <c:v>M. Adiposa</c:v>
                </c:pt>
                <c:pt idx="2">
                  <c:v>M. Ósea</c:v>
                </c:pt>
                <c:pt idx="3">
                  <c:v>M. Residual</c:v>
                </c:pt>
                <c:pt idx="4">
                  <c:v>Piel</c:v>
                </c:pt>
              </c:strCache>
            </c:strRef>
          </c:cat>
          <c:val>
            <c:numRef>
              <c:f>Fraccionamiento!$H$6:$H$10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1" l="0.75000000000000056" r="0.75000000000000056" t="1" header="0" footer="0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somatocarta</a:t>
            </a:r>
          </a:p>
        </c:rich>
      </c:tx>
      <c:layout>
        <c:manualLayout>
          <c:xMode val="edge"/>
          <c:yMode val="edge"/>
          <c:x val="0.10857162854643181"/>
          <c:y val="2.57008763735041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80975411040571"/>
          <c:y val="0.17289719626168223"/>
          <c:w val="0.76952524093236752"/>
          <c:h val="0.6822429906542056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6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xVal>
            <c:numRef>
              <c:f>Somatotipo!$H$10:$H$300</c:f>
              <c:numCache>
                <c:formatCode>0.00</c:formatCode>
                <c:ptCount val="2"/>
                <c:pt idx="0">
                  <c:v>0</c:v>
                </c:pt>
                <c:pt idx="1">
                  <c:v>1.9</c:v>
                </c:pt>
              </c:numCache>
            </c:numRef>
          </c:xVal>
          <c:yVal>
            <c:numRef>
              <c:f>Somatotipo!$I$10:$I$300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4.0999999999999996</c:v>
                </c:pt>
              </c:numCache>
            </c:numRef>
          </c:yVal>
        </c:ser>
        <c:axId val="91159168"/>
        <c:axId val="84751104"/>
      </c:scatterChart>
      <c:valAx>
        <c:axId val="91159168"/>
        <c:scaling>
          <c:orientation val="minMax"/>
          <c:max val="14"/>
          <c:min val="-1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x</a:t>
                </a:r>
              </a:p>
            </c:rich>
          </c:tx>
          <c:layout>
            <c:manualLayout>
              <c:xMode val="edge"/>
              <c:yMode val="edge"/>
              <c:x val="0.49523909511311076"/>
              <c:y val="0.8948596467814407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84751104"/>
        <c:crossesAt val="0"/>
        <c:crossBetween val="midCat"/>
        <c:majorUnit val="1"/>
        <c:minorUnit val="1"/>
      </c:valAx>
      <c:valAx>
        <c:axId val="84751104"/>
        <c:scaling>
          <c:orientation val="minMax"/>
          <c:max val="14"/>
          <c:min val="-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y</a:t>
                </a:r>
              </a:p>
            </c:rich>
          </c:tx>
          <c:layout>
            <c:manualLayout>
              <c:xMode val="edge"/>
              <c:yMode val="edge"/>
              <c:x val="2.6666666666666672E-2"/>
              <c:y val="0.4976635971351041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91159168"/>
        <c:crossesAt val="0"/>
        <c:crossBetween val="midCat"/>
        <c:majorUnit val="1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0056" r="0.75000000000000056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0.3109540636042411"/>
          <c:y val="1.6339886663312188E-2"/>
          <c:w val="0.65017667844522964"/>
          <c:h val="0.9357308429190106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Val val="1"/>
          </c:dLbls>
          <c:cat>
            <c:strRef>
              <c:f>Proporcionalidad!$B$4:$B$50</c:f>
              <c:strCache>
                <c:ptCount val="47"/>
                <c:pt idx="0">
                  <c:v>Peso corporal</c:v>
                </c:pt>
                <c:pt idx="1">
                  <c:v>Estatura máxima</c:v>
                </c:pt>
                <c:pt idx="2">
                  <c:v>Estatura de sentado</c:v>
                </c:pt>
                <c:pt idx="3">
                  <c:v>Envergadura</c:v>
                </c:pt>
                <c:pt idx="5">
                  <c:v>Brazo (Acromial-radial)</c:v>
                </c:pt>
                <c:pt idx="6">
                  <c:v>Antebrazo (Radial-estiloidea)</c:v>
                </c:pt>
                <c:pt idx="7">
                  <c:v>Mano (Medio estiloidea-dactilar)</c:v>
                </c:pt>
                <c:pt idx="8">
                  <c:v>Ilioespinal-caja</c:v>
                </c:pt>
                <c:pt idx="9">
                  <c:v>Trocantérea-caja</c:v>
                </c:pt>
                <c:pt idx="10">
                  <c:v>Muslo (Trocantérea-tibial)</c:v>
                </c:pt>
                <c:pt idx="11">
                  <c:v>Pierna (Tibial-caja)</c:v>
                </c:pt>
                <c:pt idx="12">
                  <c:v>Tibia (Tibial medio-maleolar)</c:v>
                </c:pt>
                <c:pt idx="13">
                  <c:v>Pié (Calcáneo-punta)</c:v>
                </c:pt>
                <c:pt idx="15">
                  <c:v>Biacromial</c:v>
                </c:pt>
                <c:pt idx="16">
                  <c:v>Biiliocrestídeo</c:v>
                </c:pt>
                <c:pt idx="17">
                  <c:v>Toráxico</c:v>
                </c:pt>
                <c:pt idx="18">
                  <c:v>Tórax antero-posterior</c:v>
                </c:pt>
                <c:pt idx="19">
                  <c:v>Húmero</c:v>
                </c:pt>
                <c:pt idx="20">
                  <c:v>Muñeca (bi-estiloidea)</c:v>
                </c:pt>
                <c:pt idx="21">
                  <c:v>Fémur</c:v>
                </c:pt>
                <c:pt idx="22">
                  <c:v>Tobillo (bi-maleolar)</c:v>
                </c:pt>
                <c:pt idx="24">
                  <c:v>Brazo relajado</c:v>
                </c:pt>
                <c:pt idx="25">
                  <c:v>Brazo flexionado</c:v>
                </c:pt>
                <c:pt idx="26">
                  <c:v>Antebrazo</c:v>
                </c:pt>
                <c:pt idx="27">
                  <c:v>Muñeca</c:v>
                </c:pt>
                <c:pt idx="28">
                  <c:v>Cabeza</c:v>
                </c:pt>
                <c:pt idx="29">
                  <c:v>Cuello</c:v>
                </c:pt>
                <c:pt idx="30">
                  <c:v>Tórax</c:v>
                </c:pt>
                <c:pt idx="31">
                  <c:v>Cintura</c:v>
                </c:pt>
                <c:pt idx="32">
                  <c:v>Cadera</c:v>
                </c:pt>
                <c:pt idx="33">
                  <c:v>Muslo (máximo)</c:v>
                </c:pt>
                <c:pt idx="34">
                  <c:v>Muslo (medial)</c:v>
                </c:pt>
                <c:pt idx="35">
                  <c:v>Pantorrilla</c:v>
                </c:pt>
                <c:pt idx="36">
                  <c:v>Tobillo</c:v>
                </c:pt>
                <c:pt idx="38">
                  <c:v>Tríceps</c:v>
                </c:pt>
                <c:pt idx="39">
                  <c:v>Subescapular</c:v>
                </c:pt>
                <c:pt idx="40">
                  <c:v>Bíceps</c:v>
                </c:pt>
                <c:pt idx="41">
                  <c:v>Axilar medial</c:v>
                </c:pt>
                <c:pt idx="42">
                  <c:v>Cresta ilíaca</c:v>
                </c:pt>
                <c:pt idx="43">
                  <c:v>Supraespinal</c:v>
                </c:pt>
                <c:pt idx="44">
                  <c:v>Abdominal</c:v>
                </c:pt>
                <c:pt idx="45">
                  <c:v>Muslo anterior</c:v>
                </c:pt>
                <c:pt idx="46">
                  <c:v>Pantorrilla medial</c:v>
                </c:pt>
              </c:strCache>
            </c:strRef>
          </c:cat>
          <c:val>
            <c:numRef>
              <c:f>Proporcionalidad!$C$4:$C$50</c:f>
              <c:numCache>
                <c:formatCode>General</c:formatCode>
                <c:ptCount val="47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Val val="1"/>
          </c:dLbls>
          <c:cat>
            <c:strRef>
              <c:f>Proporcionalidad!$B$4:$B$50</c:f>
              <c:strCache>
                <c:ptCount val="47"/>
                <c:pt idx="0">
                  <c:v>Peso corporal</c:v>
                </c:pt>
                <c:pt idx="1">
                  <c:v>Estatura máxima</c:v>
                </c:pt>
                <c:pt idx="2">
                  <c:v>Estatura de sentado</c:v>
                </c:pt>
                <c:pt idx="3">
                  <c:v>Envergadura</c:v>
                </c:pt>
                <c:pt idx="5">
                  <c:v>Brazo (Acromial-radial)</c:v>
                </c:pt>
                <c:pt idx="6">
                  <c:v>Antebrazo (Radial-estiloidea)</c:v>
                </c:pt>
                <c:pt idx="7">
                  <c:v>Mano (Medio estiloidea-dactilar)</c:v>
                </c:pt>
                <c:pt idx="8">
                  <c:v>Ilioespinal-caja</c:v>
                </c:pt>
                <c:pt idx="9">
                  <c:v>Trocantérea-caja</c:v>
                </c:pt>
                <c:pt idx="10">
                  <c:v>Muslo (Trocantérea-tibial)</c:v>
                </c:pt>
                <c:pt idx="11">
                  <c:v>Pierna (Tibial-caja)</c:v>
                </c:pt>
                <c:pt idx="12">
                  <c:v>Tibia (Tibial medio-maleolar)</c:v>
                </c:pt>
                <c:pt idx="13">
                  <c:v>Pié (Calcáneo-punta)</c:v>
                </c:pt>
                <c:pt idx="15">
                  <c:v>Biacromial</c:v>
                </c:pt>
                <c:pt idx="16">
                  <c:v>Biiliocrestídeo</c:v>
                </c:pt>
                <c:pt idx="17">
                  <c:v>Toráxico</c:v>
                </c:pt>
                <c:pt idx="18">
                  <c:v>Tórax antero-posterior</c:v>
                </c:pt>
                <c:pt idx="19">
                  <c:v>Húmero</c:v>
                </c:pt>
                <c:pt idx="20">
                  <c:v>Muñeca (bi-estiloidea)</c:v>
                </c:pt>
                <c:pt idx="21">
                  <c:v>Fémur</c:v>
                </c:pt>
                <c:pt idx="22">
                  <c:v>Tobillo (bi-maleolar)</c:v>
                </c:pt>
                <c:pt idx="24">
                  <c:v>Brazo relajado</c:v>
                </c:pt>
                <c:pt idx="25">
                  <c:v>Brazo flexionado</c:v>
                </c:pt>
                <c:pt idx="26">
                  <c:v>Antebrazo</c:v>
                </c:pt>
                <c:pt idx="27">
                  <c:v>Muñeca</c:v>
                </c:pt>
                <c:pt idx="28">
                  <c:v>Cabeza</c:v>
                </c:pt>
                <c:pt idx="29">
                  <c:v>Cuello</c:v>
                </c:pt>
                <c:pt idx="30">
                  <c:v>Tórax</c:v>
                </c:pt>
                <c:pt idx="31">
                  <c:v>Cintura</c:v>
                </c:pt>
                <c:pt idx="32">
                  <c:v>Cadera</c:v>
                </c:pt>
                <c:pt idx="33">
                  <c:v>Muslo (máximo)</c:v>
                </c:pt>
                <c:pt idx="34">
                  <c:v>Muslo (medial)</c:v>
                </c:pt>
                <c:pt idx="35">
                  <c:v>Pantorrilla</c:v>
                </c:pt>
                <c:pt idx="36">
                  <c:v>Tobillo</c:v>
                </c:pt>
                <c:pt idx="38">
                  <c:v>Tríceps</c:v>
                </c:pt>
                <c:pt idx="39">
                  <c:v>Subescapular</c:v>
                </c:pt>
                <c:pt idx="40">
                  <c:v>Bíceps</c:v>
                </c:pt>
                <c:pt idx="41">
                  <c:v>Axilar medial</c:v>
                </c:pt>
                <c:pt idx="42">
                  <c:v>Cresta ilíaca</c:v>
                </c:pt>
                <c:pt idx="43">
                  <c:v>Supraespinal</c:v>
                </c:pt>
                <c:pt idx="44">
                  <c:v>Abdominal</c:v>
                </c:pt>
                <c:pt idx="45">
                  <c:v>Muslo anterior</c:v>
                </c:pt>
                <c:pt idx="46">
                  <c:v>Pantorrilla medial</c:v>
                </c:pt>
              </c:strCache>
            </c:strRef>
          </c:cat>
          <c:val>
            <c:numRef>
              <c:f>Proporcionalidad!$D$4:$D$50</c:f>
              <c:numCache>
                <c:formatCode>General</c:formatCode>
                <c:ptCount val="47"/>
              </c:numCache>
            </c:numRef>
          </c:val>
        </c:ser>
        <c:ser>
          <c:idx val="2"/>
          <c:order val="2"/>
          <c:spPr>
            <a:solidFill>
              <a:srgbClr val="0000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 u="none" strike="noStrike" baseline="0">
                    <a:solidFill>
                      <a:srgbClr val="333399"/>
                    </a:solidFill>
                    <a:latin typeface="Calibri" pitchFamily="34" charset="0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Val val="1"/>
          </c:dLbls>
          <c:trendline>
            <c:spPr>
              <a:ln w="25400">
                <a:pattFill prst="pct75">
                  <a:fgClr>
                    <a:srgbClr val="0000FF"/>
                  </a:fgClr>
                  <a:bgClr>
                    <a:srgbClr val="FFFFFF"/>
                  </a:bgClr>
                </a:pattFill>
                <a:prstDash val="solid"/>
              </a:ln>
            </c:spPr>
            <c:trendlineType val="movingAvg"/>
            <c:period val="2"/>
          </c:trendline>
          <c:cat>
            <c:strRef>
              <c:f>Proporcionalidad!$B$4:$B$50</c:f>
              <c:strCache>
                <c:ptCount val="47"/>
                <c:pt idx="0">
                  <c:v>Peso corporal</c:v>
                </c:pt>
                <c:pt idx="1">
                  <c:v>Estatura máxima</c:v>
                </c:pt>
                <c:pt idx="2">
                  <c:v>Estatura de sentado</c:v>
                </c:pt>
                <c:pt idx="3">
                  <c:v>Envergadura</c:v>
                </c:pt>
                <c:pt idx="5">
                  <c:v>Brazo (Acromial-radial)</c:v>
                </c:pt>
                <c:pt idx="6">
                  <c:v>Antebrazo (Radial-estiloidea)</c:v>
                </c:pt>
                <c:pt idx="7">
                  <c:v>Mano (Medio estiloidea-dactilar)</c:v>
                </c:pt>
                <c:pt idx="8">
                  <c:v>Ilioespinal-caja</c:v>
                </c:pt>
                <c:pt idx="9">
                  <c:v>Trocantérea-caja</c:v>
                </c:pt>
                <c:pt idx="10">
                  <c:v>Muslo (Trocantérea-tibial)</c:v>
                </c:pt>
                <c:pt idx="11">
                  <c:v>Pierna (Tibial-caja)</c:v>
                </c:pt>
                <c:pt idx="12">
                  <c:v>Tibia (Tibial medio-maleolar)</c:v>
                </c:pt>
                <c:pt idx="13">
                  <c:v>Pié (Calcáneo-punta)</c:v>
                </c:pt>
                <c:pt idx="15">
                  <c:v>Biacromial</c:v>
                </c:pt>
                <c:pt idx="16">
                  <c:v>Biiliocrestídeo</c:v>
                </c:pt>
                <c:pt idx="17">
                  <c:v>Toráxico</c:v>
                </c:pt>
                <c:pt idx="18">
                  <c:v>Tórax antero-posterior</c:v>
                </c:pt>
                <c:pt idx="19">
                  <c:v>Húmero</c:v>
                </c:pt>
                <c:pt idx="20">
                  <c:v>Muñeca (bi-estiloidea)</c:v>
                </c:pt>
                <c:pt idx="21">
                  <c:v>Fémur</c:v>
                </c:pt>
                <c:pt idx="22">
                  <c:v>Tobillo (bi-maleolar)</c:v>
                </c:pt>
                <c:pt idx="24">
                  <c:v>Brazo relajado</c:v>
                </c:pt>
                <c:pt idx="25">
                  <c:v>Brazo flexionado</c:v>
                </c:pt>
                <c:pt idx="26">
                  <c:v>Antebrazo</c:v>
                </c:pt>
                <c:pt idx="27">
                  <c:v>Muñeca</c:v>
                </c:pt>
                <c:pt idx="28">
                  <c:v>Cabeza</c:v>
                </c:pt>
                <c:pt idx="29">
                  <c:v>Cuello</c:v>
                </c:pt>
                <c:pt idx="30">
                  <c:v>Tórax</c:v>
                </c:pt>
                <c:pt idx="31">
                  <c:v>Cintura</c:v>
                </c:pt>
                <c:pt idx="32">
                  <c:v>Cadera</c:v>
                </c:pt>
                <c:pt idx="33">
                  <c:v>Muslo (máximo)</c:v>
                </c:pt>
                <c:pt idx="34">
                  <c:v>Muslo (medial)</c:v>
                </c:pt>
                <c:pt idx="35">
                  <c:v>Pantorrilla</c:v>
                </c:pt>
                <c:pt idx="36">
                  <c:v>Tobillo</c:v>
                </c:pt>
                <c:pt idx="38">
                  <c:v>Tríceps</c:v>
                </c:pt>
                <c:pt idx="39">
                  <c:v>Subescapular</c:v>
                </c:pt>
                <c:pt idx="40">
                  <c:v>Bíceps</c:v>
                </c:pt>
                <c:pt idx="41">
                  <c:v>Axilar medial</c:v>
                </c:pt>
                <c:pt idx="42">
                  <c:v>Cresta ilíaca</c:v>
                </c:pt>
                <c:pt idx="43">
                  <c:v>Supraespinal</c:v>
                </c:pt>
                <c:pt idx="44">
                  <c:v>Abdominal</c:v>
                </c:pt>
                <c:pt idx="45">
                  <c:v>Muslo anterior</c:v>
                </c:pt>
                <c:pt idx="46">
                  <c:v>Pantorrilla medial</c:v>
                </c:pt>
              </c:strCache>
            </c:strRef>
          </c:cat>
          <c:val>
            <c:numRef>
              <c:f>Proporcionalidad!$E$4:$E$50</c:f>
              <c:numCache>
                <c:formatCode>0.00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dLbls>
          <c:showVal val="1"/>
        </c:dLbls>
        <c:axId val="80291712"/>
        <c:axId val="80293248"/>
      </c:barChart>
      <c:catAx>
        <c:axId val="80291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 pitchFamily="34" charset="0"/>
                <a:ea typeface="Arial"/>
                <a:cs typeface="Arial"/>
              </a:defRPr>
            </a:pPr>
            <a:endParaRPr lang="es-AR"/>
          </a:p>
        </c:txPr>
        <c:crossAx val="80293248"/>
        <c:crosses val="autoZero"/>
        <c:auto val="1"/>
        <c:lblAlgn val="ctr"/>
        <c:lblOffset val="100"/>
        <c:tickLblSkip val="1"/>
        <c:tickMarkSkip val="1"/>
      </c:catAx>
      <c:valAx>
        <c:axId val="80293248"/>
        <c:scaling>
          <c:orientation val="minMax"/>
          <c:max val="3"/>
          <c:min val="-3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80291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0056" r="0.75000000000000056" t="1" header="0.5" footer="0.5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Presentaci&#243;n!A57"/><Relationship Id="rId3" Type="http://schemas.openxmlformats.org/officeDocument/2006/relationships/hyperlink" Target="#Fraccionamiento!A1"/><Relationship Id="rId7" Type="http://schemas.openxmlformats.org/officeDocument/2006/relationships/hyperlink" Target="#&#205;ndices!A47"/><Relationship Id="rId12" Type="http://schemas.openxmlformats.org/officeDocument/2006/relationships/image" Target="../media/image3.png"/><Relationship Id="rId2" Type="http://schemas.openxmlformats.org/officeDocument/2006/relationships/hyperlink" Target="#Planilla!C3"/><Relationship Id="rId1" Type="http://schemas.openxmlformats.org/officeDocument/2006/relationships/image" Target="../media/image1.jpeg"/><Relationship Id="rId6" Type="http://schemas.openxmlformats.org/officeDocument/2006/relationships/hyperlink" Target="#&#205;ndices!A1"/><Relationship Id="rId11" Type="http://schemas.openxmlformats.org/officeDocument/2006/relationships/hyperlink" Target="#Presentaci&#243;n!A1"/><Relationship Id="rId5" Type="http://schemas.openxmlformats.org/officeDocument/2006/relationships/hyperlink" Target="#Proporcionalidad!A1"/><Relationship Id="rId10" Type="http://schemas.openxmlformats.org/officeDocument/2006/relationships/image" Target="../media/image2.jpeg"/><Relationship Id="rId4" Type="http://schemas.openxmlformats.org/officeDocument/2006/relationships/hyperlink" Target="#Somatotipo!A1"/><Relationship Id="rId9" Type="http://schemas.openxmlformats.org/officeDocument/2006/relationships/hyperlink" Target="http://www.entrenamas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lanilla!E55"/><Relationship Id="rId2" Type="http://schemas.openxmlformats.org/officeDocument/2006/relationships/image" Target="../media/image4.png"/><Relationship Id="rId1" Type="http://schemas.openxmlformats.org/officeDocument/2006/relationships/hyperlink" Target="#Planilla!E41"/><Relationship Id="rId5" Type="http://schemas.openxmlformats.org/officeDocument/2006/relationships/image" Target="../media/image5.png"/><Relationship Id="rId4" Type="http://schemas.openxmlformats.org/officeDocument/2006/relationships/hyperlink" Target="#Planill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Fraccionamiento!A1"/><Relationship Id="rId1" Type="http://schemas.openxmlformats.org/officeDocument/2006/relationships/chart" Target="../charts/chart1.xml"/><Relationship Id="rId5" Type="http://schemas.openxmlformats.org/officeDocument/2006/relationships/image" Target="../media/image6.png"/><Relationship Id="rId4" Type="http://schemas.openxmlformats.org/officeDocument/2006/relationships/hyperlink" Target="#Fraccionamiento!B46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Somatotipo!C331"/><Relationship Id="rId1" Type="http://schemas.openxmlformats.org/officeDocument/2006/relationships/chart" Target="../charts/chart2.xml"/><Relationship Id="rId5" Type="http://schemas.openxmlformats.org/officeDocument/2006/relationships/image" Target="../media/image5.png"/><Relationship Id="rId4" Type="http://schemas.openxmlformats.org/officeDocument/2006/relationships/hyperlink" Target="#Somatotip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Proporcionalidad!A1"/><Relationship Id="rId1" Type="http://schemas.openxmlformats.org/officeDocument/2006/relationships/chart" Target="../charts/chart3.xml"/><Relationship Id="rId5" Type="http://schemas.openxmlformats.org/officeDocument/2006/relationships/image" Target="../media/image9.png"/><Relationship Id="rId4" Type="http://schemas.openxmlformats.org/officeDocument/2006/relationships/hyperlink" Target="#Proporcionalidad!B50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s!A58"/><Relationship Id="rId2" Type="http://schemas.openxmlformats.org/officeDocument/2006/relationships/image" Target="../media/image5.png"/><Relationship Id="rId1" Type="http://schemas.openxmlformats.org/officeDocument/2006/relationships/hyperlink" Target="#&#205;ndices!A1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</xdr:colOff>
      <xdr:row>0</xdr:row>
      <xdr:rowOff>23812</xdr:rowOff>
    </xdr:from>
    <xdr:to>
      <xdr:col>7</xdr:col>
      <xdr:colOff>709612</xdr:colOff>
      <xdr:row>58</xdr:row>
      <xdr:rowOff>23812</xdr:rowOff>
    </xdr:to>
    <xdr:pic>
      <xdr:nvPicPr>
        <xdr:cNvPr id="7249" name="Picture 18" descr="Biacrom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0000" contrast="-90000"/>
        </a:blip>
        <a:srcRect/>
        <a:stretch>
          <a:fillRect/>
        </a:stretch>
      </xdr:blipFill>
      <xdr:spPr bwMode="auto">
        <a:xfrm>
          <a:off x="33337" y="23812"/>
          <a:ext cx="6010275" cy="920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</xdr:colOff>
      <xdr:row>2</xdr:row>
      <xdr:rowOff>71438</xdr:rowOff>
    </xdr:from>
    <xdr:to>
      <xdr:col>6</xdr:col>
      <xdr:colOff>666750</xdr:colOff>
      <xdr:row>5</xdr:row>
      <xdr:rowOff>36513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795337" y="388938"/>
          <a:ext cx="4443413" cy="44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50292" rIns="0" bIns="0" anchor="t" upright="1"/>
        <a:lstStyle/>
        <a:p>
          <a:pPr algn="l" rtl="0">
            <a:defRPr sz="1000"/>
          </a:pPr>
          <a:r>
            <a:rPr lang="es-AR" sz="2800" b="0" i="0" strike="noStrike">
              <a:solidFill>
                <a:schemeClr val="tx1">
                  <a:lumMod val="50000"/>
                  <a:lumOff val="50000"/>
                </a:schemeClr>
              </a:solidFill>
              <a:latin typeface="+mn-lt"/>
            </a:rPr>
            <a:t>CINE GIM 2002 - VERSIÓN 1.8</a:t>
          </a:r>
        </a:p>
      </xdr:txBody>
    </xdr:sp>
    <xdr:clientData/>
  </xdr:twoCellAnchor>
  <xdr:twoCellAnchor>
    <xdr:from>
      <xdr:col>1</xdr:col>
      <xdr:colOff>15875</xdr:colOff>
      <xdr:row>8</xdr:row>
      <xdr:rowOff>53976</xdr:rowOff>
    </xdr:from>
    <xdr:to>
      <xdr:col>3</xdr:col>
      <xdr:colOff>182563</xdr:colOff>
      <xdr:row>9</xdr:row>
      <xdr:rowOff>71438</xdr:rowOff>
    </xdr:to>
    <xdr:sp macro="" textlink="">
      <xdr:nvSpPr>
        <xdr:cNvPr id="7178" name="Text Box 10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777875" y="1323976"/>
          <a:ext cx="1690688" cy="17621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AR" sz="1200" b="1" i="0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cs typeface="Arial"/>
            </a:rPr>
            <a:t>Planilla Antropométrica</a:t>
          </a:r>
        </a:p>
      </xdr:txBody>
    </xdr:sp>
    <xdr:clientData/>
  </xdr:twoCellAnchor>
  <xdr:twoCellAnchor>
    <xdr:from>
      <xdr:col>0</xdr:col>
      <xdr:colOff>638175</xdr:colOff>
      <xdr:row>10</xdr:row>
      <xdr:rowOff>107950</xdr:rowOff>
    </xdr:from>
    <xdr:to>
      <xdr:col>2</xdr:col>
      <xdr:colOff>619125</xdr:colOff>
      <xdr:row>11</xdr:row>
      <xdr:rowOff>136525</xdr:rowOff>
    </xdr:to>
    <xdr:sp macro="" textlink="">
      <xdr:nvSpPr>
        <xdr:cNvPr id="7179" name="Text Box 11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638175" y="1695450"/>
          <a:ext cx="1504950" cy="187325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AR" sz="1200" b="1" i="0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cs typeface="Arial"/>
            </a:rPr>
            <a:t>Fraccionamiento</a:t>
          </a:r>
        </a:p>
      </xdr:txBody>
    </xdr:sp>
    <xdr:clientData/>
  </xdr:twoCellAnchor>
  <xdr:twoCellAnchor>
    <xdr:from>
      <xdr:col>0</xdr:col>
      <xdr:colOff>460375</xdr:colOff>
      <xdr:row>12</xdr:row>
      <xdr:rowOff>139699</xdr:rowOff>
    </xdr:from>
    <xdr:to>
      <xdr:col>2</xdr:col>
      <xdr:colOff>450850</xdr:colOff>
      <xdr:row>14</xdr:row>
      <xdr:rowOff>79374</xdr:rowOff>
    </xdr:to>
    <xdr:sp macro="" textlink="">
      <xdr:nvSpPr>
        <xdr:cNvPr id="7180" name="Text Box 12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460375" y="2044699"/>
          <a:ext cx="1514475" cy="257175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AR" sz="1200" b="1" i="0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cs typeface="Arial"/>
            </a:rPr>
            <a:t>Somatotipo</a:t>
          </a:r>
        </a:p>
      </xdr:txBody>
    </xdr:sp>
    <xdr:clientData/>
  </xdr:twoCellAnchor>
  <xdr:twoCellAnchor>
    <xdr:from>
      <xdr:col>0</xdr:col>
      <xdr:colOff>655637</xdr:colOff>
      <xdr:row>15</xdr:row>
      <xdr:rowOff>47626</xdr:rowOff>
    </xdr:from>
    <xdr:to>
      <xdr:col>2</xdr:col>
      <xdr:colOff>636587</xdr:colOff>
      <xdr:row>17</xdr:row>
      <xdr:rowOff>1</xdr:rowOff>
    </xdr:to>
    <xdr:sp macro="" textlink="">
      <xdr:nvSpPr>
        <xdr:cNvPr id="7181" name="Text Box 1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55637" y="2428876"/>
          <a:ext cx="1504950" cy="269875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AR" sz="1200" b="1" i="0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cs typeface="Arial"/>
            </a:rPr>
            <a:t>Proporcionalidad</a:t>
          </a:r>
        </a:p>
      </xdr:txBody>
    </xdr:sp>
    <xdr:clientData/>
  </xdr:twoCellAnchor>
  <xdr:twoCellAnchor>
    <xdr:from>
      <xdr:col>0</xdr:col>
      <xdr:colOff>484187</xdr:colOff>
      <xdr:row>17</xdr:row>
      <xdr:rowOff>96838</xdr:rowOff>
    </xdr:from>
    <xdr:to>
      <xdr:col>2</xdr:col>
      <xdr:colOff>166687</xdr:colOff>
      <xdr:row>19</xdr:row>
      <xdr:rowOff>23813</xdr:rowOff>
    </xdr:to>
    <xdr:sp macro="" textlink="">
      <xdr:nvSpPr>
        <xdr:cNvPr id="7182" name="Text Box 14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484187" y="2795588"/>
          <a:ext cx="1206500" cy="244475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AR" sz="1200" b="1" i="0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cs typeface="Arial"/>
            </a:rPr>
            <a:t>Índices</a:t>
          </a:r>
        </a:p>
      </xdr:txBody>
    </xdr:sp>
    <xdr:clientData/>
  </xdr:twoCellAnchor>
  <xdr:twoCellAnchor>
    <xdr:from>
      <xdr:col>0</xdr:col>
      <xdr:colOff>573088</xdr:colOff>
      <xdr:row>19</xdr:row>
      <xdr:rowOff>136525</xdr:rowOff>
    </xdr:from>
    <xdr:to>
      <xdr:col>2</xdr:col>
      <xdr:colOff>381000</xdr:colOff>
      <xdr:row>21</xdr:row>
      <xdr:rowOff>111125</xdr:rowOff>
    </xdr:to>
    <xdr:sp macro="" textlink="">
      <xdr:nvSpPr>
        <xdr:cNvPr id="7183" name="Text Box 15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573088" y="3152775"/>
          <a:ext cx="1331912" cy="292100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AR" sz="1200" b="1" i="0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cs typeface="Arial"/>
            </a:rPr>
            <a:t>Referencias</a:t>
          </a:r>
        </a:p>
      </xdr:txBody>
    </xdr:sp>
    <xdr:clientData/>
  </xdr:twoCellAnchor>
  <xdr:twoCellAnchor>
    <xdr:from>
      <xdr:col>5</xdr:col>
      <xdr:colOff>174626</xdr:colOff>
      <xdr:row>19</xdr:row>
      <xdr:rowOff>100014</xdr:rowOff>
    </xdr:from>
    <xdr:to>
      <xdr:col>7</xdr:col>
      <xdr:colOff>349251</xdr:colOff>
      <xdr:row>22</xdr:row>
      <xdr:rowOff>15876</xdr:rowOff>
    </xdr:to>
    <xdr:sp macro="" textlink="">
      <xdr:nvSpPr>
        <xdr:cNvPr id="7184" name="Text Box 16">
          <a:hlinkClick xmlns:r="http://schemas.openxmlformats.org/officeDocument/2006/relationships" r:id="rId8" tooltip="Datos del autor del Programa"/>
        </xdr:cNvPr>
        <xdr:cNvSpPr txBox="1">
          <a:spLocks noChangeArrowheads="1"/>
        </xdr:cNvSpPr>
      </xdr:nvSpPr>
      <xdr:spPr bwMode="auto">
        <a:xfrm>
          <a:off x="3984626" y="3116264"/>
          <a:ext cx="1698625" cy="392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AR" sz="1050" b="1" i="0" strike="noStrike">
              <a:solidFill>
                <a:srgbClr val="000000"/>
              </a:solidFill>
              <a:latin typeface="+mn-lt"/>
              <a:cs typeface="Arial"/>
            </a:rPr>
            <a:t>Autor</a:t>
          </a:r>
          <a:r>
            <a:rPr lang="es-AR" sz="1050" b="1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0">
            <a:defRPr sz="1000"/>
          </a:pPr>
          <a:r>
            <a:rPr lang="es-AR" sz="1050" b="1" i="0" strike="noStrike">
              <a:solidFill>
                <a:srgbClr val="000000"/>
              </a:solidFill>
              <a:latin typeface="Arial"/>
              <a:cs typeface="Arial"/>
            </a:rPr>
            <a:t>Lic. José Luis Arcodia</a:t>
          </a:r>
        </a:p>
      </xdr:txBody>
    </xdr:sp>
    <xdr:clientData/>
  </xdr:twoCellAnchor>
  <xdr:twoCellAnchor>
    <xdr:from>
      <xdr:col>1</xdr:col>
      <xdr:colOff>182563</xdr:colOff>
      <xdr:row>40</xdr:row>
      <xdr:rowOff>130176</xdr:rowOff>
    </xdr:from>
    <xdr:to>
      <xdr:col>6</xdr:col>
      <xdr:colOff>738188</xdr:colOff>
      <xdr:row>49</xdr:row>
      <xdr:rowOff>95250</xdr:rowOff>
    </xdr:to>
    <xdr:sp macro="" textlink="">
      <xdr:nvSpPr>
        <xdr:cNvPr id="7187" name="Text Box 19"/>
        <xdr:cNvSpPr txBox="1">
          <a:spLocks noChangeArrowheads="1"/>
        </xdr:cNvSpPr>
      </xdr:nvSpPr>
      <xdr:spPr bwMode="auto">
        <a:xfrm>
          <a:off x="944563" y="6480176"/>
          <a:ext cx="4365625" cy="1393824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AR" sz="1000" b="0" i="0" strike="noStrike">
              <a:solidFill>
                <a:schemeClr val="bg2">
                  <a:lumMod val="50000"/>
                </a:schemeClr>
              </a:solidFill>
              <a:latin typeface="+mn-lt"/>
              <a:cs typeface="Arial"/>
            </a:rPr>
            <a:t>Sobre el autor</a:t>
          </a:r>
        </a:p>
        <a:p>
          <a:pPr algn="l" rtl="0">
            <a:defRPr sz="1000"/>
          </a:pPr>
          <a:endParaRPr lang="es-AR" sz="1000" b="0" i="0" strike="noStrike">
            <a:solidFill>
              <a:schemeClr val="tx2">
                <a:lumMod val="60000"/>
                <a:lumOff val="40000"/>
              </a:schemeClr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s-AR" sz="1000" b="0" i="0" strike="noStrike">
              <a:solidFill>
                <a:schemeClr val="bg2">
                  <a:lumMod val="25000"/>
                </a:schemeClr>
              </a:solidFill>
              <a:latin typeface="+mn-lt"/>
              <a:cs typeface="Arial"/>
            </a:rPr>
            <a:t>José Luis Arcodia</a:t>
          </a:r>
        </a:p>
        <a:p>
          <a:pPr algn="l" rtl="0">
            <a:defRPr sz="1000"/>
          </a:pPr>
          <a:r>
            <a:rPr lang="es-AR" sz="1000" b="0" i="0" strike="noStrike">
              <a:solidFill>
                <a:schemeClr val="bg2">
                  <a:lumMod val="25000"/>
                </a:schemeClr>
              </a:solidFill>
              <a:latin typeface="+mn-lt"/>
              <a:cs typeface="Arial"/>
            </a:rPr>
            <a:t>Instructor en Cineantropometría (Nivel 3) ISAK</a:t>
          </a:r>
        </a:p>
        <a:p>
          <a:pPr algn="l" rtl="0">
            <a:defRPr sz="1000"/>
          </a:pPr>
          <a:r>
            <a:rPr lang="es-AR" sz="1000" b="0" i="0" strike="noStrike">
              <a:solidFill>
                <a:schemeClr val="bg2">
                  <a:lumMod val="25000"/>
                </a:schemeClr>
              </a:solidFill>
              <a:latin typeface="+mn-lt"/>
              <a:cs typeface="Arial"/>
            </a:rPr>
            <a:t>Lic. en Educación Física (Especialista</a:t>
          </a:r>
          <a:r>
            <a:rPr lang="es-AR" sz="1000" b="0" i="0" strike="noStrike" baseline="0">
              <a:solidFill>
                <a:schemeClr val="bg2">
                  <a:lumMod val="25000"/>
                </a:schemeClr>
              </a:solidFill>
              <a:latin typeface="+mn-lt"/>
              <a:cs typeface="Arial"/>
            </a:rPr>
            <a:t> en Alto Rendimiento Deportivo)</a:t>
          </a:r>
          <a:endParaRPr lang="es-AR" sz="1000" b="0" i="0" strike="noStrike">
            <a:solidFill>
              <a:schemeClr val="bg2">
                <a:lumMod val="25000"/>
              </a:schemeClr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s-AR" sz="1000" b="0" i="0" strike="noStrike">
              <a:solidFill>
                <a:schemeClr val="bg2">
                  <a:lumMod val="25000"/>
                </a:schemeClr>
              </a:solidFill>
              <a:latin typeface="+mn-lt"/>
              <a:cs typeface="Arial"/>
            </a:rPr>
            <a:t>Teléfono: (0341) 156-470107</a:t>
          </a:r>
        </a:p>
        <a:p>
          <a:pPr algn="l" rtl="0">
            <a:defRPr sz="1000"/>
          </a:pPr>
          <a:r>
            <a:rPr lang="es-AR" sz="1000" b="0" i="0" strike="noStrike">
              <a:solidFill>
                <a:schemeClr val="bg2">
                  <a:lumMod val="25000"/>
                </a:schemeClr>
              </a:solidFill>
              <a:latin typeface="+mn-lt"/>
              <a:cs typeface="Arial"/>
            </a:rPr>
            <a:t>Dirección de e-mail:</a:t>
          </a:r>
          <a:r>
            <a:rPr lang="es-AR" sz="1000" b="0" i="0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cs typeface="Arial"/>
            </a:rPr>
            <a:t> </a:t>
          </a:r>
          <a:r>
            <a:rPr lang="es-AR" sz="1000" b="0" i="0" strike="noStrike">
              <a:solidFill>
                <a:srgbClr val="0000FF"/>
              </a:solidFill>
              <a:latin typeface="+mn-lt"/>
              <a:cs typeface="Arial"/>
            </a:rPr>
            <a:t>jarcodia@arnet.com.ar</a:t>
          </a:r>
        </a:p>
        <a:p>
          <a:pPr algn="l" rtl="0">
            <a:defRPr sz="1000"/>
          </a:pPr>
          <a:r>
            <a:rPr lang="es-AR" sz="1000" b="0" i="0" strike="noStrike">
              <a:solidFill>
                <a:schemeClr val="bg2">
                  <a:lumMod val="25000"/>
                </a:schemeClr>
              </a:solidFill>
              <a:latin typeface="+mn-lt"/>
              <a:cs typeface="Arial"/>
            </a:rPr>
            <a:t>Página Web: </a:t>
          </a:r>
          <a:r>
            <a:rPr lang="es-AR" sz="1000" b="0" i="0" strike="noStrike">
              <a:solidFill>
                <a:srgbClr val="0000FF"/>
              </a:solidFill>
              <a:latin typeface="+mn-lt"/>
              <a:cs typeface="Arial"/>
            </a:rPr>
            <a:t>www.entrenamas.com</a:t>
          </a:r>
        </a:p>
        <a:p>
          <a:pPr algn="l" rtl="0">
            <a:defRPr sz="1000"/>
          </a:pPr>
          <a:r>
            <a:rPr lang="es-AR" sz="1000" b="0" i="0" strike="noStrike">
              <a:solidFill>
                <a:schemeClr val="bg2">
                  <a:lumMod val="25000"/>
                </a:schemeClr>
              </a:solidFill>
              <a:latin typeface="+mn-lt"/>
              <a:cs typeface="Arial"/>
            </a:rPr>
            <a:t>e-mail:</a:t>
          </a:r>
          <a:r>
            <a:rPr lang="es-AR" sz="1000" b="0" i="0" strike="noStrike">
              <a:solidFill>
                <a:srgbClr val="0000FF"/>
              </a:solidFill>
              <a:latin typeface="+mn-lt"/>
              <a:cs typeface="Arial"/>
            </a:rPr>
            <a:t> jose@entrenamas.com</a:t>
          </a:r>
          <a:endParaRPr lang="es-AR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s-A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104775</xdr:colOff>
      <xdr:row>23</xdr:row>
      <xdr:rowOff>3175</xdr:rowOff>
    </xdr:from>
    <xdr:to>
      <xdr:col>7</xdr:col>
      <xdr:colOff>257175</xdr:colOff>
      <xdr:row>29</xdr:row>
      <xdr:rowOff>41275</xdr:rowOff>
    </xdr:to>
    <xdr:pic>
      <xdr:nvPicPr>
        <xdr:cNvPr id="7260" name="20 Imagen" descr="Entrenamas.logo.jpg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66775" y="3654425"/>
          <a:ext cx="47244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468312</xdr:colOff>
      <xdr:row>8</xdr:row>
      <xdr:rowOff>63500</xdr:rowOff>
    </xdr:from>
    <xdr:to>
      <xdr:col>7</xdr:col>
      <xdr:colOff>230188</xdr:colOff>
      <xdr:row>17</xdr:row>
      <xdr:rowOff>111125</xdr:rowOff>
    </xdr:to>
    <xdr:sp macro="" textlink="">
      <xdr:nvSpPr>
        <xdr:cNvPr id="22" name="21 CuadroTexto"/>
        <xdr:cNvSpPr txBox="1"/>
      </xdr:nvSpPr>
      <xdr:spPr>
        <a:xfrm>
          <a:off x="2754312" y="1333500"/>
          <a:ext cx="2809876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AR" sz="1100"/>
            <a:t>Si se encuentra utilizando este programa en su PC haciendo click en la</a:t>
          </a:r>
          <a:r>
            <a:rPr lang="es-AR" sz="1100" baseline="0"/>
            <a:t> lista de la izquierda podrá navegar por todas las pantallas, cargar datos en la "Planilla Antropométrica", elegir una referencia ("elija un deporte") en la pantalla "Somatotipo" y visualizar todos los resultados y los gráficos que el programa es capaz de ofrecerle. </a:t>
          </a:r>
          <a:endParaRPr lang="es-AR" sz="1100"/>
        </a:p>
      </xdr:txBody>
    </xdr:sp>
    <xdr:clientData/>
  </xdr:twoCellAnchor>
  <xdr:twoCellAnchor editAs="oneCell">
    <xdr:from>
      <xdr:col>6</xdr:col>
      <xdr:colOff>47627</xdr:colOff>
      <xdr:row>44</xdr:row>
      <xdr:rowOff>31750</xdr:rowOff>
    </xdr:from>
    <xdr:to>
      <xdr:col>6</xdr:col>
      <xdr:colOff>414766</xdr:colOff>
      <xdr:row>46</xdr:row>
      <xdr:rowOff>74250</xdr:rowOff>
    </xdr:to>
    <xdr:pic>
      <xdr:nvPicPr>
        <xdr:cNvPr id="7301" name="Picture 133" descr="C:\Users\pepe\AppData\Local\Microsoft\Windows\Temporary Internet Files\Content.IE5\0XS36KSE\MCj04325270000[1].png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619627" y="7016750"/>
          <a:ext cx="367139" cy="36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197068</xdr:colOff>
      <xdr:row>12</xdr:row>
      <xdr:rowOff>98535</xdr:rowOff>
    </xdr:from>
    <xdr:to>
      <xdr:col>3</xdr:col>
      <xdr:colOff>730718</xdr:colOff>
      <xdr:row>15</xdr:row>
      <xdr:rowOff>145863</xdr:rowOff>
    </xdr:to>
    <xdr:pic>
      <xdr:nvPicPr>
        <xdr:cNvPr id="1047" name="Picture 23" descr="C:\Users\pepe\AppData\Local\Microsoft\Windows\Temporary Internet Files\Content.IE5\NESYNXQV\MCj04325280000[1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7995" y="2102069"/>
          <a:ext cx="533650" cy="54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188858</xdr:colOff>
      <xdr:row>31</xdr:row>
      <xdr:rowOff>131379</xdr:rowOff>
    </xdr:from>
    <xdr:to>
      <xdr:col>3</xdr:col>
      <xdr:colOff>722508</xdr:colOff>
      <xdr:row>35</xdr:row>
      <xdr:rowOff>14482</xdr:rowOff>
    </xdr:to>
    <xdr:pic>
      <xdr:nvPicPr>
        <xdr:cNvPr id="6" name="Picture 23" descr="C:\Users\pepe\AppData\Local\Microsoft\Windows\Temporary Internet Files\Content.IE5\NESYNXQV\MCj04325280000[1]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9785" y="5255172"/>
          <a:ext cx="533650" cy="54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197069</xdr:colOff>
      <xdr:row>51</xdr:row>
      <xdr:rowOff>106746</xdr:rowOff>
    </xdr:from>
    <xdr:to>
      <xdr:col>3</xdr:col>
      <xdr:colOff>730719</xdr:colOff>
      <xdr:row>54</xdr:row>
      <xdr:rowOff>154074</xdr:rowOff>
    </xdr:to>
    <xdr:pic>
      <xdr:nvPicPr>
        <xdr:cNvPr id="1048" name="Picture 24" descr="C:\Users\pepe\AppData\Local\Microsoft\Windows\Temporary Internet Files\Content.IE5\0XS36KSE\MCj04325270000[1].pn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87996" y="8515022"/>
          <a:ext cx="533650" cy="54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23</xdr:row>
      <xdr:rowOff>76200</xdr:rowOff>
    </xdr:from>
    <xdr:to>
      <xdr:col>7</xdr:col>
      <xdr:colOff>409575</xdr:colOff>
      <xdr:row>53</xdr:row>
      <xdr:rowOff>76200</xdr:rowOff>
    </xdr:to>
    <xdr:graphicFrame macro="">
      <xdr:nvGraphicFramePr>
        <xdr:cNvPr id="20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638832</xdr:colOff>
      <xdr:row>50</xdr:row>
      <xdr:rowOff>6240</xdr:rowOff>
    </xdr:from>
    <xdr:to>
      <xdr:col>7</xdr:col>
      <xdr:colOff>408840</xdr:colOff>
      <xdr:row>53</xdr:row>
      <xdr:rowOff>53568</xdr:rowOff>
    </xdr:to>
    <xdr:pic>
      <xdr:nvPicPr>
        <xdr:cNvPr id="2067" name="Picture 19" descr="C:\Users\pepe\AppData\Local\Microsoft\Windows\Temporary Internet Files\Content.IE5\0XS36KSE\MCj04325270000[1]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86375" y="8217447"/>
          <a:ext cx="533650" cy="5400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64376</xdr:colOff>
      <xdr:row>20</xdr:row>
      <xdr:rowOff>71602</xdr:rowOff>
    </xdr:from>
    <xdr:to>
      <xdr:col>6</xdr:col>
      <xdr:colOff>572157</xdr:colOff>
      <xdr:row>22</xdr:row>
      <xdr:rowOff>115874</xdr:rowOff>
    </xdr:to>
    <xdr:pic>
      <xdr:nvPicPr>
        <xdr:cNvPr id="2068" name="Picture 20" descr="C:\Users\pepe\AppData\Local\Microsoft\Windows\Temporary Internet Files\Content.IE5\NESYNXQV\MCj04325430000[1].pn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711919" y="3356085"/>
          <a:ext cx="507781" cy="3727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331470</xdr:colOff>
      <xdr:row>302</xdr:row>
      <xdr:rowOff>11429</xdr:rowOff>
    </xdr:from>
    <xdr:to>
      <xdr:col>8</xdr:col>
      <xdr:colOff>112395</xdr:colOff>
      <xdr:row>331</xdr:row>
      <xdr:rowOff>76790</xdr:rowOff>
    </xdr:to>
    <xdr:graphicFrame macro="">
      <xdr:nvGraphicFramePr>
        <xdr:cNvPr id="41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1763786</xdr:colOff>
      <xdr:row>4</xdr:row>
      <xdr:rowOff>11496</xdr:rowOff>
    </xdr:from>
    <xdr:to>
      <xdr:col>3</xdr:col>
      <xdr:colOff>2184182</xdr:colOff>
      <xdr:row>5</xdr:row>
      <xdr:rowOff>156013</xdr:rowOff>
    </xdr:to>
    <xdr:pic>
      <xdr:nvPicPr>
        <xdr:cNvPr id="4150" name="Picture 54" descr="C:\Users\pepe\AppData\Local\Microsoft\Windows\Temporary Internet Files\Content.IE5\NESYNXQV\MCj04325430000[1]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47083" y="668393"/>
          <a:ext cx="420396" cy="30874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376731</xdr:colOff>
      <xdr:row>315</xdr:row>
      <xdr:rowOff>56822</xdr:rowOff>
    </xdr:from>
    <xdr:to>
      <xdr:col>8</xdr:col>
      <xdr:colOff>72149</xdr:colOff>
      <xdr:row>318</xdr:row>
      <xdr:rowOff>104149</xdr:rowOff>
    </xdr:to>
    <xdr:pic>
      <xdr:nvPicPr>
        <xdr:cNvPr id="4151" name="Picture 55" descr="C:\Users\pepe\AppData\Local\Microsoft\Windows\Temporary Internet Files\Content.IE5\0XS36KSE\MCj04325270000[1].pn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78822" y="6461563"/>
          <a:ext cx="532961" cy="540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0</xdr:rowOff>
    </xdr:from>
    <xdr:to>
      <xdr:col>7</xdr:col>
      <xdr:colOff>409575</xdr:colOff>
      <xdr:row>58</xdr:row>
      <xdr:rowOff>32516</xdr:rowOff>
    </xdr:to>
    <xdr:graphicFrame macro="">
      <xdr:nvGraphicFramePr>
        <xdr:cNvPr id="6156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38100</xdr:colOff>
      <xdr:row>51</xdr:row>
      <xdr:rowOff>155027</xdr:rowOff>
    </xdr:from>
    <xdr:to>
      <xdr:col>7</xdr:col>
      <xdr:colOff>571750</xdr:colOff>
      <xdr:row>55</xdr:row>
      <xdr:rowOff>38131</xdr:rowOff>
    </xdr:to>
    <xdr:pic>
      <xdr:nvPicPr>
        <xdr:cNvPr id="6164" name="Picture 1044" descr="C:\Users\pepe\AppData\Local\Microsoft\Windows\Temporary Internet Files\Content.IE5\0XS36KSE\MCj04325270000[1]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83596" y="8555092"/>
          <a:ext cx="533650" cy="54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255533</xdr:colOff>
      <xdr:row>2</xdr:row>
      <xdr:rowOff>92623</xdr:rowOff>
    </xdr:from>
    <xdr:to>
      <xdr:col>7</xdr:col>
      <xdr:colOff>693355</xdr:colOff>
      <xdr:row>4</xdr:row>
      <xdr:rowOff>85290</xdr:rowOff>
    </xdr:to>
    <xdr:pic>
      <xdr:nvPicPr>
        <xdr:cNvPr id="6165" name="Picture 1045" descr="C:\Users\pepe\AppData\Local\Microsoft\Windows\Temporary Internet Files\Content.IE5\NESYNXQV\MCj04325430000[1].pn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601029" y="445705"/>
          <a:ext cx="437822" cy="32111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54851</xdr:colOff>
      <xdr:row>56</xdr:row>
      <xdr:rowOff>88024</xdr:rowOff>
    </xdr:from>
    <xdr:to>
      <xdr:col>7</xdr:col>
      <xdr:colOff>588501</xdr:colOff>
      <xdr:row>59</xdr:row>
      <xdr:rowOff>135352</xdr:rowOff>
    </xdr:to>
    <xdr:pic>
      <xdr:nvPicPr>
        <xdr:cNvPr id="8202" name="Picture 10" descr="C:\Users\pepe\AppData\Local\Microsoft\Windows\Temporary Internet Files\Content.IE5\0XS36KSE\MCj04325270000[1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57825" y="9374899"/>
          <a:ext cx="533650" cy="54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112001</xdr:colOff>
      <xdr:row>25</xdr:row>
      <xdr:rowOff>142218</xdr:rowOff>
    </xdr:from>
    <xdr:to>
      <xdr:col>7</xdr:col>
      <xdr:colOff>647395</xdr:colOff>
      <xdr:row>28</xdr:row>
      <xdr:rowOff>156701</xdr:rowOff>
    </xdr:to>
    <xdr:pic>
      <xdr:nvPicPr>
        <xdr:cNvPr id="8203" name="Picture 11" descr="C:\Users\pepe\AppData\Local\Microsoft\Windows\Temporary Internet Files\Content.IE5\NESYNXQV\MCj04325280000[1]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14975" y="4305300"/>
          <a:ext cx="535394" cy="54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3366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3366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"/>
  <sheetViews>
    <sheetView tabSelected="1" zoomScale="125" zoomScaleNormal="125" workbookViewId="0"/>
  </sheetViews>
  <sheetFormatPr baseColWidth="10" defaultRowHeight="12.75"/>
  <sheetData/>
  <sheetProtection password="962F" sheet="1" objects="1" scenarios="1"/>
  <phoneticPr fontId="0" type="noConversion"/>
  <pageMargins left="0.59055118110236227" right="0.19685039370078741" top="0.59055118110236227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H58"/>
  <sheetViews>
    <sheetView zoomScale="125" zoomScaleNormal="125" workbookViewId="0">
      <selection activeCell="D1" sqref="D1"/>
    </sheetView>
  </sheetViews>
  <sheetFormatPr baseColWidth="10" defaultRowHeight="12.75"/>
  <sheetData>
    <row r="1" spans="1:8">
      <c r="A1" s="65" t="s">
        <v>115</v>
      </c>
      <c r="B1" s="66" t="s">
        <v>116</v>
      </c>
      <c r="C1" s="65"/>
      <c r="D1" s="65" t="s">
        <v>85</v>
      </c>
      <c r="E1" s="65" t="s">
        <v>117</v>
      </c>
      <c r="F1" s="65"/>
      <c r="G1" s="65" t="s">
        <v>118</v>
      </c>
      <c r="H1" s="65" t="s">
        <v>104</v>
      </c>
    </row>
    <row r="2" spans="1:8" ht="12.75" customHeight="1">
      <c r="A2" s="48"/>
      <c r="B2" s="48"/>
      <c r="C2" s="48"/>
      <c r="D2" s="48"/>
      <c r="E2" s="48"/>
      <c r="F2" s="48"/>
      <c r="G2" s="48"/>
      <c r="H2" s="48"/>
    </row>
    <row r="3" spans="1:8" ht="12.75" customHeight="1">
      <c r="A3" s="49" t="s">
        <v>0</v>
      </c>
      <c r="B3" s="49"/>
      <c r="C3" s="70"/>
      <c r="D3" s="71"/>
      <c r="E3" s="72"/>
      <c r="F3" s="50"/>
      <c r="G3" s="51" t="s">
        <v>1</v>
      </c>
      <c r="H3" s="80"/>
    </row>
    <row r="4" spans="1:8">
      <c r="A4" s="49" t="s">
        <v>2</v>
      </c>
      <c r="B4" s="49"/>
      <c r="C4" s="73"/>
      <c r="D4" s="74"/>
      <c r="E4" s="74"/>
      <c r="F4" s="52"/>
      <c r="G4" s="51" t="s">
        <v>3</v>
      </c>
      <c r="H4" s="80"/>
    </row>
    <row r="5" spans="1:8">
      <c r="A5" s="49" t="s">
        <v>4</v>
      </c>
      <c r="B5" s="49"/>
      <c r="C5" s="75"/>
      <c r="D5" s="69" t="s">
        <v>5</v>
      </c>
      <c r="E5" s="76">
        <f>YEARFRAC(C5,C4)</f>
        <v>0</v>
      </c>
      <c r="F5" s="52"/>
      <c r="G5" s="51" t="s">
        <v>6</v>
      </c>
      <c r="H5" s="80"/>
    </row>
    <row r="6" spans="1:8">
      <c r="A6" s="49" t="s">
        <v>7</v>
      </c>
      <c r="B6" s="49"/>
      <c r="C6" s="77"/>
      <c r="D6" s="78"/>
      <c r="E6" s="79"/>
      <c r="F6" s="52"/>
      <c r="G6" s="51" t="s">
        <v>8</v>
      </c>
      <c r="H6" s="80"/>
    </row>
    <row r="7" spans="1:8">
      <c r="A7" s="9"/>
      <c r="B7" s="9"/>
      <c r="C7" s="9"/>
      <c r="D7" s="9"/>
      <c r="E7" s="9"/>
      <c r="F7" s="9"/>
      <c r="G7" s="9"/>
      <c r="H7" s="9"/>
    </row>
    <row r="8" spans="1:8">
      <c r="A8" s="53" t="s">
        <v>9</v>
      </c>
      <c r="B8" s="54"/>
      <c r="C8" s="52"/>
      <c r="D8" s="52"/>
      <c r="E8" s="55" t="s">
        <v>10</v>
      </c>
      <c r="F8" s="55" t="s">
        <v>11</v>
      </c>
      <c r="G8" s="55" t="s">
        <v>12</v>
      </c>
      <c r="H8" s="55" t="s">
        <v>13</v>
      </c>
    </row>
    <row r="9" spans="1:8">
      <c r="A9" s="56">
        <v>1</v>
      </c>
      <c r="B9" s="49" t="s">
        <v>14</v>
      </c>
      <c r="C9" s="49"/>
      <c r="D9" s="52"/>
      <c r="E9" s="57"/>
      <c r="F9" s="57"/>
      <c r="G9" s="57"/>
      <c r="H9" s="58" t="e">
        <f>MEDIAN(E9:G9)</f>
        <v>#NUM!</v>
      </c>
    </row>
    <row r="10" spans="1:8">
      <c r="A10" s="56">
        <v>2</v>
      </c>
      <c r="B10" s="49" t="s">
        <v>15</v>
      </c>
      <c r="C10" s="49"/>
      <c r="D10" s="52"/>
      <c r="E10" s="59"/>
      <c r="F10" s="59"/>
      <c r="G10" s="59"/>
      <c r="H10" s="60" t="e">
        <f t="shared" ref="H10:H12" si="0">MEDIAN(E10:G10)</f>
        <v>#NUM!</v>
      </c>
    </row>
    <row r="11" spans="1:8">
      <c r="A11" s="56">
        <v>3</v>
      </c>
      <c r="B11" s="49" t="s">
        <v>16</v>
      </c>
      <c r="C11" s="49"/>
      <c r="D11" s="52"/>
      <c r="E11" s="59"/>
      <c r="F11" s="59"/>
      <c r="G11" s="59"/>
      <c r="H11" s="60" t="e">
        <f t="shared" si="0"/>
        <v>#NUM!</v>
      </c>
    </row>
    <row r="12" spans="1:8">
      <c r="A12" s="56">
        <v>4</v>
      </c>
      <c r="B12" s="49" t="s">
        <v>17</v>
      </c>
      <c r="C12" s="49"/>
      <c r="D12" s="52"/>
      <c r="E12" s="59"/>
      <c r="F12" s="59"/>
      <c r="G12" s="59"/>
      <c r="H12" s="60" t="e">
        <f t="shared" si="0"/>
        <v>#NUM!</v>
      </c>
    </row>
    <row r="13" spans="1:8">
      <c r="A13" s="53" t="s">
        <v>18</v>
      </c>
      <c r="B13" s="52"/>
      <c r="C13" s="52"/>
      <c r="D13" s="52"/>
      <c r="E13" s="61"/>
      <c r="F13" s="61"/>
      <c r="G13" s="61"/>
      <c r="H13" s="67"/>
    </row>
    <row r="14" spans="1:8">
      <c r="A14" s="56">
        <v>5</v>
      </c>
      <c r="B14" s="49" t="s">
        <v>19</v>
      </c>
      <c r="C14" s="52"/>
      <c r="D14" s="52"/>
      <c r="E14" s="59"/>
      <c r="F14" s="59"/>
      <c r="G14" s="59"/>
      <c r="H14" s="60" t="e">
        <f>MEDIAN(E14:G14)</f>
        <v>#NUM!</v>
      </c>
    </row>
    <row r="15" spans="1:8">
      <c r="A15" s="56">
        <v>6</v>
      </c>
      <c r="B15" s="49" t="s">
        <v>20</v>
      </c>
      <c r="C15" s="52"/>
      <c r="D15" s="52"/>
      <c r="E15" s="59"/>
      <c r="F15" s="59"/>
      <c r="G15" s="59"/>
      <c r="H15" s="60" t="e">
        <f t="shared" ref="H15:H55" si="1">MEDIAN(E15:G15)</f>
        <v>#NUM!</v>
      </c>
    </row>
    <row r="16" spans="1:8">
      <c r="A16" s="56">
        <v>7</v>
      </c>
      <c r="B16" s="49" t="s">
        <v>21</v>
      </c>
      <c r="C16" s="52"/>
      <c r="D16" s="52"/>
      <c r="E16" s="59"/>
      <c r="F16" s="59"/>
      <c r="G16" s="59"/>
      <c r="H16" s="60" t="e">
        <f t="shared" si="1"/>
        <v>#NUM!</v>
      </c>
    </row>
    <row r="17" spans="1:8">
      <c r="A17" s="56">
        <v>8</v>
      </c>
      <c r="B17" s="49" t="s">
        <v>22</v>
      </c>
      <c r="C17" s="52"/>
      <c r="D17" s="52"/>
      <c r="E17" s="59"/>
      <c r="F17" s="59"/>
      <c r="G17" s="59"/>
      <c r="H17" s="60" t="e">
        <f t="shared" si="1"/>
        <v>#NUM!</v>
      </c>
    </row>
    <row r="18" spans="1:8">
      <c r="A18" s="56">
        <v>9</v>
      </c>
      <c r="B18" s="49" t="s">
        <v>23</v>
      </c>
      <c r="C18" s="52"/>
      <c r="D18" s="52"/>
      <c r="E18" s="59"/>
      <c r="F18" s="59"/>
      <c r="G18" s="59"/>
      <c r="H18" s="60" t="e">
        <f t="shared" si="1"/>
        <v>#NUM!</v>
      </c>
    </row>
    <row r="19" spans="1:8">
      <c r="A19" s="56">
        <v>10</v>
      </c>
      <c r="B19" s="49" t="s">
        <v>24</v>
      </c>
      <c r="C19" s="52"/>
      <c r="D19" s="52"/>
      <c r="E19" s="59"/>
      <c r="F19" s="59"/>
      <c r="G19" s="59"/>
      <c r="H19" s="60" t="e">
        <f t="shared" si="1"/>
        <v>#NUM!</v>
      </c>
    </row>
    <row r="20" spans="1:8">
      <c r="A20" s="56">
        <v>11</v>
      </c>
      <c r="B20" s="49" t="s">
        <v>25</v>
      </c>
      <c r="C20" s="52"/>
      <c r="D20" s="52"/>
      <c r="E20" s="59"/>
      <c r="F20" s="59"/>
      <c r="G20" s="59"/>
      <c r="H20" s="60" t="e">
        <f t="shared" si="1"/>
        <v>#NUM!</v>
      </c>
    </row>
    <row r="21" spans="1:8">
      <c r="A21" s="56">
        <v>12</v>
      </c>
      <c r="B21" s="49" t="s">
        <v>26</v>
      </c>
      <c r="C21" s="52"/>
      <c r="D21" s="52"/>
      <c r="E21" s="59"/>
      <c r="F21" s="59"/>
      <c r="G21" s="59"/>
      <c r="H21" s="60" t="e">
        <f t="shared" si="1"/>
        <v>#NUM!</v>
      </c>
    </row>
    <row r="22" spans="1:8">
      <c r="A22" s="56">
        <v>13</v>
      </c>
      <c r="B22" s="49" t="s">
        <v>27</v>
      </c>
      <c r="C22" s="52"/>
      <c r="D22" s="52"/>
      <c r="E22" s="59"/>
      <c r="F22" s="59"/>
      <c r="G22" s="59"/>
      <c r="H22" s="60" t="e">
        <f t="shared" si="1"/>
        <v>#NUM!</v>
      </c>
    </row>
    <row r="23" spans="1:8">
      <c r="A23" s="53" t="s">
        <v>61</v>
      </c>
      <c r="B23" s="52"/>
      <c r="C23" s="52"/>
      <c r="D23" s="52"/>
      <c r="E23" s="63"/>
      <c r="F23" s="63"/>
      <c r="G23" s="63"/>
      <c r="H23" s="68"/>
    </row>
    <row r="24" spans="1:8">
      <c r="A24" s="56">
        <v>14</v>
      </c>
      <c r="B24" s="49" t="s">
        <v>29</v>
      </c>
      <c r="C24" s="52"/>
      <c r="D24" s="52"/>
      <c r="E24" s="59"/>
      <c r="F24" s="59"/>
      <c r="G24" s="59"/>
      <c r="H24" s="60" t="e">
        <f t="shared" si="1"/>
        <v>#NUM!</v>
      </c>
    </row>
    <row r="25" spans="1:8">
      <c r="A25" s="56">
        <v>15</v>
      </c>
      <c r="B25" s="49" t="s">
        <v>30</v>
      </c>
      <c r="C25" s="52"/>
      <c r="D25" s="52"/>
      <c r="E25" s="59"/>
      <c r="F25" s="59"/>
      <c r="G25" s="59"/>
      <c r="H25" s="60" t="e">
        <f t="shared" si="1"/>
        <v>#NUM!</v>
      </c>
    </row>
    <row r="26" spans="1:8">
      <c r="A26" s="56">
        <v>16</v>
      </c>
      <c r="B26" s="49" t="s">
        <v>31</v>
      </c>
      <c r="C26" s="52"/>
      <c r="D26" s="52"/>
      <c r="E26" s="59"/>
      <c r="F26" s="59"/>
      <c r="G26" s="59"/>
      <c r="H26" s="60" t="e">
        <f t="shared" si="1"/>
        <v>#NUM!</v>
      </c>
    </row>
    <row r="27" spans="1:8">
      <c r="A27" s="56">
        <v>17</v>
      </c>
      <c r="B27" s="49" t="s">
        <v>32</v>
      </c>
      <c r="C27" s="52"/>
      <c r="D27" s="52"/>
      <c r="E27" s="59"/>
      <c r="F27" s="59"/>
      <c r="G27" s="59"/>
      <c r="H27" s="60" t="e">
        <f t="shared" si="1"/>
        <v>#NUM!</v>
      </c>
    </row>
    <row r="28" spans="1:8">
      <c r="A28" s="56">
        <v>18</v>
      </c>
      <c r="B28" s="49" t="s">
        <v>33</v>
      </c>
      <c r="C28" s="52"/>
      <c r="D28" s="52"/>
      <c r="E28" s="59"/>
      <c r="F28" s="59"/>
      <c r="G28" s="59"/>
      <c r="H28" s="60" t="e">
        <f t="shared" si="1"/>
        <v>#NUM!</v>
      </c>
    </row>
    <row r="29" spans="1:8">
      <c r="A29" s="56">
        <v>19</v>
      </c>
      <c r="B29" s="49" t="s">
        <v>34</v>
      </c>
      <c r="C29" s="52"/>
      <c r="D29" s="52"/>
      <c r="E29" s="59"/>
      <c r="F29" s="59"/>
      <c r="G29" s="59"/>
      <c r="H29" s="60" t="e">
        <f t="shared" si="1"/>
        <v>#NUM!</v>
      </c>
    </row>
    <row r="30" spans="1:8">
      <c r="A30" s="56">
        <v>20</v>
      </c>
      <c r="B30" s="49" t="s">
        <v>35</v>
      </c>
      <c r="C30" s="52"/>
      <c r="D30" s="52"/>
      <c r="E30" s="59"/>
      <c r="F30" s="59"/>
      <c r="G30" s="59"/>
      <c r="H30" s="60" t="e">
        <f t="shared" si="1"/>
        <v>#NUM!</v>
      </c>
    </row>
    <row r="31" spans="1:8">
      <c r="A31" s="56">
        <v>21</v>
      </c>
      <c r="B31" s="49" t="s">
        <v>36</v>
      </c>
      <c r="C31" s="52"/>
      <c r="D31" s="52"/>
      <c r="E31" s="59"/>
      <c r="F31" s="59"/>
      <c r="G31" s="59"/>
      <c r="H31" s="60" t="e">
        <f t="shared" si="1"/>
        <v>#NUM!</v>
      </c>
    </row>
    <row r="32" spans="1:8">
      <c r="A32" s="53" t="s">
        <v>62</v>
      </c>
      <c r="B32" s="52"/>
      <c r="C32" s="52"/>
      <c r="D32" s="52"/>
      <c r="E32" s="63"/>
      <c r="F32" s="63"/>
      <c r="G32" s="63"/>
      <c r="H32" s="68"/>
    </row>
    <row r="33" spans="1:8">
      <c r="A33" s="56">
        <v>22</v>
      </c>
      <c r="B33" s="49" t="s">
        <v>38</v>
      </c>
      <c r="C33" s="52"/>
      <c r="D33" s="52"/>
      <c r="E33" s="59"/>
      <c r="F33" s="59"/>
      <c r="G33" s="59"/>
      <c r="H33" s="60" t="e">
        <f t="shared" si="1"/>
        <v>#NUM!</v>
      </c>
    </row>
    <row r="34" spans="1:8">
      <c r="A34" s="56">
        <v>23</v>
      </c>
      <c r="B34" s="49" t="s">
        <v>39</v>
      </c>
      <c r="C34" s="52"/>
      <c r="D34" s="52"/>
      <c r="E34" s="59"/>
      <c r="F34" s="59"/>
      <c r="G34" s="59"/>
      <c r="H34" s="60" t="e">
        <f t="shared" si="1"/>
        <v>#NUM!</v>
      </c>
    </row>
    <row r="35" spans="1:8">
      <c r="A35" s="56">
        <v>24</v>
      </c>
      <c r="B35" s="49" t="s">
        <v>40</v>
      </c>
      <c r="C35" s="52"/>
      <c r="D35" s="52"/>
      <c r="E35" s="59"/>
      <c r="F35" s="59"/>
      <c r="G35" s="59"/>
      <c r="H35" s="60" t="e">
        <f t="shared" si="1"/>
        <v>#NUM!</v>
      </c>
    </row>
    <row r="36" spans="1:8">
      <c r="A36" s="56">
        <v>25</v>
      </c>
      <c r="B36" s="49" t="s">
        <v>41</v>
      </c>
      <c r="C36" s="52"/>
      <c r="D36" s="52"/>
      <c r="E36" s="59"/>
      <c r="F36" s="59"/>
      <c r="G36" s="59"/>
      <c r="H36" s="60" t="e">
        <f t="shared" si="1"/>
        <v>#NUM!</v>
      </c>
    </row>
    <row r="37" spans="1:8">
      <c r="A37" s="56">
        <v>26</v>
      </c>
      <c r="B37" s="49" t="s">
        <v>42</v>
      </c>
      <c r="C37" s="52"/>
      <c r="D37" s="52"/>
      <c r="E37" s="59"/>
      <c r="F37" s="59"/>
      <c r="G37" s="59"/>
      <c r="H37" s="60" t="e">
        <f t="shared" si="1"/>
        <v>#NUM!</v>
      </c>
    </row>
    <row r="38" spans="1:8">
      <c r="A38" s="56">
        <v>27</v>
      </c>
      <c r="B38" s="49" t="s">
        <v>43</v>
      </c>
      <c r="C38" s="52"/>
      <c r="D38" s="52"/>
      <c r="E38" s="59"/>
      <c r="F38" s="59"/>
      <c r="G38" s="59"/>
      <c r="H38" s="60" t="e">
        <f t="shared" si="1"/>
        <v>#NUM!</v>
      </c>
    </row>
    <row r="39" spans="1:8">
      <c r="A39" s="56">
        <v>28</v>
      </c>
      <c r="B39" s="49" t="s">
        <v>44</v>
      </c>
      <c r="C39" s="52"/>
      <c r="D39" s="52"/>
      <c r="E39" s="59"/>
      <c r="F39" s="59"/>
      <c r="G39" s="59"/>
      <c r="H39" s="60" t="e">
        <f t="shared" si="1"/>
        <v>#NUM!</v>
      </c>
    </row>
    <row r="40" spans="1:8">
      <c r="A40" s="56">
        <v>29</v>
      </c>
      <c r="B40" s="49" t="s">
        <v>45</v>
      </c>
      <c r="C40" s="52"/>
      <c r="D40" s="52"/>
      <c r="E40" s="59"/>
      <c r="F40" s="59"/>
      <c r="G40" s="59"/>
      <c r="H40" s="60" t="e">
        <f t="shared" si="1"/>
        <v>#NUM!</v>
      </c>
    </row>
    <row r="41" spans="1:8">
      <c r="A41" s="56">
        <v>30</v>
      </c>
      <c r="B41" s="49" t="s">
        <v>46</v>
      </c>
      <c r="C41" s="52"/>
      <c r="D41" s="52"/>
      <c r="E41" s="59"/>
      <c r="F41" s="59"/>
      <c r="G41" s="59"/>
      <c r="H41" s="60" t="e">
        <f t="shared" si="1"/>
        <v>#NUM!</v>
      </c>
    </row>
    <row r="42" spans="1:8">
      <c r="A42" s="56">
        <v>31</v>
      </c>
      <c r="B42" s="49" t="s">
        <v>48</v>
      </c>
      <c r="C42" s="52"/>
      <c r="D42" s="52"/>
      <c r="E42" s="59"/>
      <c r="F42" s="59"/>
      <c r="G42" s="59"/>
      <c r="H42" s="60" t="e">
        <f t="shared" si="1"/>
        <v>#NUM!</v>
      </c>
    </row>
    <row r="43" spans="1:8">
      <c r="A43" s="56">
        <v>32</v>
      </c>
      <c r="B43" s="49" t="s">
        <v>47</v>
      </c>
      <c r="C43" s="52"/>
      <c r="D43" s="52"/>
      <c r="E43" s="59"/>
      <c r="F43" s="59"/>
      <c r="G43" s="59"/>
      <c r="H43" s="60" t="e">
        <f t="shared" si="1"/>
        <v>#NUM!</v>
      </c>
    </row>
    <row r="44" spans="1:8">
      <c r="A44" s="56">
        <v>33</v>
      </c>
      <c r="B44" s="49" t="s">
        <v>49</v>
      </c>
      <c r="C44" s="52"/>
      <c r="D44" s="52"/>
      <c r="E44" s="59"/>
      <c r="F44" s="59"/>
      <c r="G44" s="59"/>
      <c r="H44" s="60" t="e">
        <f t="shared" si="1"/>
        <v>#NUM!</v>
      </c>
    </row>
    <row r="45" spans="1:8">
      <c r="A45" s="56">
        <v>34</v>
      </c>
      <c r="B45" s="49" t="s">
        <v>50</v>
      </c>
      <c r="C45" s="52"/>
      <c r="D45" s="52"/>
      <c r="E45" s="59"/>
      <c r="F45" s="59"/>
      <c r="G45" s="59"/>
      <c r="H45" s="60" t="e">
        <f t="shared" si="1"/>
        <v>#NUM!</v>
      </c>
    </row>
    <row r="46" spans="1:8">
      <c r="A46" s="53" t="s">
        <v>63</v>
      </c>
      <c r="B46" s="52"/>
      <c r="C46" s="52"/>
      <c r="D46" s="52"/>
      <c r="E46" s="61"/>
      <c r="F46" s="61"/>
      <c r="G46" s="61"/>
      <c r="H46" s="68"/>
    </row>
    <row r="47" spans="1:8">
      <c r="A47" s="56">
        <v>35</v>
      </c>
      <c r="B47" s="49" t="s">
        <v>52</v>
      </c>
      <c r="C47" s="52"/>
      <c r="D47" s="52"/>
      <c r="E47" s="64"/>
      <c r="F47" s="64"/>
      <c r="G47" s="64"/>
      <c r="H47" s="201" t="e">
        <f t="shared" si="1"/>
        <v>#NUM!</v>
      </c>
    </row>
    <row r="48" spans="1:8">
      <c r="A48" s="56">
        <v>36</v>
      </c>
      <c r="B48" s="49" t="s">
        <v>53</v>
      </c>
      <c r="C48" s="52"/>
      <c r="D48" s="52"/>
      <c r="E48" s="64"/>
      <c r="F48" s="64"/>
      <c r="G48" s="64"/>
      <c r="H48" s="201" t="e">
        <f t="shared" si="1"/>
        <v>#NUM!</v>
      </c>
    </row>
    <row r="49" spans="1:8">
      <c r="A49" s="56">
        <v>37</v>
      </c>
      <c r="B49" s="49" t="s">
        <v>54</v>
      </c>
      <c r="C49" s="52"/>
      <c r="D49" s="52"/>
      <c r="E49" s="64"/>
      <c r="F49" s="64"/>
      <c r="G49" s="64"/>
      <c r="H49" s="201" t="e">
        <f t="shared" si="1"/>
        <v>#NUM!</v>
      </c>
    </row>
    <row r="50" spans="1:8">
      <c r="A50" s="56">
        <v>38</v>
      </c>
      <c r="B50" s="49" t="s">
        <v>55</v>
      </c>
      <c r="C50" s="52"/>
      <c r="D50" s="52"/>
      <c r="E50" s="64"/>
      <c r="F50" s="64"/>
      <c r="G50" s="64"/>
      <c r="H50" s="201" t="e">
        <f t="shared" si="1"/>
        <v>#NUM!</v>
      </c>
    </row>
    <row r="51" spans="1:8">
      <c r="A51" s="56">
        <v>39</v>
      </c>
      <c r="B51" s="49" t="s">
        <v>56</v>
      </c>
      <c r="C51" s="52"/>
      <c r="D51" s="52"/>
      <c r="E51" s="64"/>
      <c r="F51" s="64"/>
      <c r="G51" s="64"/>
      <c r="H51" s="201" t="e">
        <f t="shared" si="1"/>
        <v>#NUM!</v>
      </c>
    </row>
    <row r="52" spans="1:8">
      <c r="A52" s="56">
        <v>40</v>
      </c>
      <c r="B52" s="49" t="s">
        <v>57</v>
      </c>
      <c r="C52" s="52"/>
      <c r="D52" s="52"/>
      <c r="E52" s="64"/>
      <c r="F52" s="64"/>
      <c r="G52" s="64"/>
      <c r="H52" s="201" t="e">
        <f t="shared" si="1"/>
        <v>#NUM!</v>
      </c>
    </row>
    <row r="53" spans="1:8">
      <c r="A53" s="56">
        <v>41</v>
      </c>
      <c r="B53" s="49" t="s">
        <v>58</v>
      </c>
      <c r="C53" s="52"/>
      <c r="D53" s="52"/>
      <c r="E53" s="64"/>
      <c r="F53" s="64"/>
      <c r="G53" s="64"/>
      <c r="H53" s="201" t="e">
        <f t="shared" si="1"/>
        <v>#NUM!</v>
      </c>
    </row>
    <row r="54" spans="1:8">
      <c r="A54" s="56">
        <v>42</v>
      </c>
      <c r="B54" s="49" t="s">
        <v>59</v>
      </c>
      <c r="C54" s="52"/>
      <c r="D54" s="52"/>
      <c r="E54" s="64"/>
      <c r="F54" s="64"/>
      <c r="G54" s="64"/>
      <c r="H54" s="201" t="e">
        <f t="shared" si="1"/>
        <v>#NUM!</v>
      </c>
    </row>
    <row r="55" spans="1:8">
      <c r="A55" s="56">
        <v>43</v>
      </c>
      <c r="B55" s="49" t="s">
        <v>60</v>
      </c>
      <c r="C55" s="52"/>
      <c r="D55" s="52"/>
      <c r="E55" s="64"/>
      <c r="F55" s="64"/>
      <c r="G55" s="64"/>
      <c r="H55" s="201" t="e">
        <f t="shared" si="1"/>
        <v>#NUM!</v>
      </c>
    </row>
    <row r="56" spans="1:8">
      <c r="A56" s="9"/>
      <c r="B56" s="9"/>
      <c r="C56" s="9"/>
      <c r="D56" s="9"/>
      <c r="E56" s="9"/>
      <c r="F56" s="9"/>
      <c r="G56" s="9"/>
      <c r="H56" s="9"/>
    </row>
    <row r="57" spans="1:8">
      <c r="A57" s="9"/>
      <c r="B57" s="9"/>
      <c r="C57" s="9"/>
      <c r="D57" s="9"/>
      <c r="E57" s="9"/>
      <c r="F57" s="9"/>
      <c r="G57" s="9"/>
      <c r="H57" s="9"/>
    </row>
    <row r="58" spans="1:8">
      <c r="A58" s="38"/>
      <c r="B58" s="38"/>
      <c r="C58" s="38"/>
      <c r="D58" s="38"/>
      <c r="E58" s="38"/>
      <c r="F58" s="38"/>
      <c r="G58" s="38"/>
      <c r="H58" s="38"/>
    </row>
  </sheetData>
  <sheetProtection password="962F" sheet="1" objects="1" scenarios="1"/>
  <phoneticPr fontId="0" type="noConversion"/>
  <hyperlinks>
    <hyperlink ref="A1" location="Presentación!A1" tooltip="Página Principal" display="PRESENTACIÓN"/>
    <hyperlink ref="B1:C1" location="Fraccionamiento!A1" display="FRACCIONAMIENTO"/>
    <hyperlink ref="D1" location="Somatotipo!A1" tooltip="Ir a la pantalla Somatotipo" display="SOMATOTIPO"/>
    <hyperlink ref="E1:F1" location="Proporcionalidad!A1" display="PROPORCIONALIDAD"/>
    <hyperlink ref="G1" location="Índices!A1" tooltip="Ir a Índices de salud" display="ÍNDICES"/>
    <hyperlink ref="H1" location="Índices!A47" tooltip="Pantalla de Referencias" display="REFERENCIAS"/>
    <hyperlink ref="B1" location="Fraccionamiento!A1" tooltip="Ir a la pantalla Fraccionamiento" display="FRACCIONAMIENTO"/>
    <hyperlink ref="E1" location="Proporcionalidad!A1" tooltip="Ir a la pantalla Proporcionalidad" display="PROPORCIONALIDAD"/>
  </hyperlinks>
  <pageMargins left="0.59055118110236227" right="0.19685039370078741" top="0.78740157480314965" bottom="0.39370078740157483" header="0" footer="0"/>
  <pageSetup paperSize="9" orientation="portrait" horizontalDpi="4294967293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J58"/>
  <sheetViews>
    <sheetView zoomScale="125" zoomScaleNormal="125" workbookViewId="0">
      <selection activeCell="C1" sqref="C1"/>
    </sheetView>
  </sheetViews>
  <sheetFormatPr baseColWidth="10" defaultRowHeight="12.75"/>
  <cols>
    <col min="5" max="5" width="12.42578125" bestFit="1" customWidth="1"/>
  </cols>
  <sheetData>
    <row r="1" spans="1:10">
      <c r="A1" s="65" t="s">
        <v>115</v>
      </c>
      <c r="B1" s="81" t="s">
        <v>119</v>
      </c>
      <c r="C1" s="81" t="s">
        <v>85</v>
      </c>
      <c r="D1" s="81" t="s">
        <v>117</v>
      </c>
      <c r="E1" s="81"/>
      <c r="F1" s="81" t="s">
        <v>118</v>
      </c>
      <c r="G1" s="81" t="s">
        <v>104</v>
      </c>
      <c r="H1" s="10"/>
    </row>
    <row r="2" spans="1:10">
      <c r="A2" s="82" t="s">
        <v>391</v>
      </c>
      <c r="B2" s="83"/>
      <c r="C2" s="83"/>
      <c r="D2" s="83"/>
      <c r="E2" s="83"/>
      <c r="F2" s="83"/>
      <c r="G2" s="94"/>
      <c r="H2" s="94"/>
    </row>
    <row r="3" spans="1:10">
      <c r="A3" s="84"/>
      <c r="B3" s="84"/>
      <c r="C3" s="84"/>
      <c r="D3" s="61"/>
      <c r="E3" s="84"/>
      <c r="F3" s="84"/>
      <c r="G3" s="93" t="s">
        <v>64</v>
      </c>
      <c r="H3" s="93" t="s">
        <v>65</v>
      </c>
    </row>
    <row r="4" spans="1:10">
      <c r="A4" s="90"/>
      <c r="B4" s="90"/>
      <c r="C4" s="88"/>
      <c r="D4" s="89"/>
      <c r="E4" s="91" t="s">
        <v>71</v>
      </c>
      <c r="F4" s="91"/>
      <c r="G4" s="92" t="e">
        <f>(A23*5.85+25.6)/POWER((170.18/Planilla!H10),3)</f>
        <v>#NUM!</v>
      </c>
      <c r="H4" s="92" t="e">
        <f>(G4/G14)*100</f>
        <v>#NUM!</v>
      </c>
    </row>
    <row r="5" spans="1:10">
      <c r="A5" s="90"/>
      <c r="B5" s="90"/>
      <c r="C5" s="88"/>
      <c r="D5" s="89"/>
      <c r="E5" s="91" t="s">
        <v>72</v>
      </c>
      <c r="F5" s="91"/>
      <c r="G5" s="92" t="e">
        <f>E7+E8+E11+E12</f>
        <v>#NUM!</v>
      </c>
      <c r="H5" s="92" t="e">
        <f>(G5/G14)*100</f>
        <v>#NUM!</v>
      </c>
    </row>
    <row r="6" spans="1:10">
      <c r="A6" s="84"/>
      <c r="B6" s="84"/>
      <c r="C6" s="84"/>
      <c r="D6" s="61"/>
      <c r="E6" s="93" t="s">
        <v>64</v>
      </c>
      <c r="F6" s="93" t="s">
        <v>65</v>
      </c>
      <c r="G6" s="85" t="s">
        <v>109</v>
      </c>
      <c r="H6" s="86" t="e">
        <f>F12</f>
        <v>#NUM!</v>
      </c>
    </row>
    <row r="7" spans="1:10">
      <c r="A7" s="88"/>
      <c r="B7" s="95" t="s">
        <v>66</v>
      </c>
      <c r="C7" s="96"/>
      <c r="D7" s="97"/>
      <c r="E7" s="98" t="e">
        <f>(IF(Planilla!E5&lt;12,70.691*POWER(Planilla!H9,0.425)*POWER(Planilla!H10,0.725),IF(Planilla!E5&gt;=12,IF(Planilla!H4=1,68.308*POWER(Planilla!H9,0.425)*POWER(Planilla!H10,0.725),IF(Planilla!H4=2,73.704*POWER(Planilla!H9,0.425)*POWER(Planilla!H10,0.725)))))/10000)*1.05*IF(Planilla!H4=1,2.07,IF(Planilla!H4=2,1.96))</f>
        <v>#NUM!</v>
      </c>
      <c r="F7" s="98" t="e">
        <f>(E7/G14)*100</f>
        <v>#NUM!</v>
      </c>
      <c r="G7" s="85" t="s">
        <v>110</v>
      </c>
      <c r="H7" s="86" t="e">
        <f>H4</f>
        <v>#NUM!</v>
      </c>
    </row>
    <row r="8" spans="1:10">
      <c r="A8" s="88"/>
      <c r="B8" s="95" t="s">
        <v>70</v>
      </c>
      <c r="C8" s="96"/>
      <c r="D8" s="97"/>
      <c r="E8" s="98" t="e">
        <f>E9+E10</f>
        <v>#NUM!</v>
      </c>
      <c r="F8" s="98" t="e">
        <f>(E8/G14)*100</f>
        <v>#NUM!</v>
      </c>
      <c r="G8" s="85" t="s">
        <v>111</v>
      </c>
      <c r="H8" s="86" t="e">
        <f>F8</f>
        <v>#NUM!</v>
      </c>
      <c r="I8" s="3"/>
      <c r="J8" s="3"/>
    </row>
    <row r="9" spans="1:10">
      <c r="A9" s="88"/>
      <c r="B9" s="95"/>
      <c r="C9" s="99" t="s">
        <v>107</v>
      </c>
      <c r="D9" s="97"/>
      <c r="E9" s="100" t="e">
        <f>A19*0.18+1.2</f>
        <v>#NUM!</v>
      </c>
      <c r="F9" s="100" t="e">
        <f>(E9/G14)*100</f>
        <v>#NUM!</v>
      </c>
      <c r="G9" s="85" t="s">
        <v>112</v>
      </c>
      <c r="H9" s="86" t="e">
        <f>F11</f>
        <v>#NUM!</v>
      </c>
    </row>
    <row r="10" spans="1:10">
      <c r="A10" s="88"/>
      <c r="B10" s="95"/>
      <c r="C10" s="99" t="s">
        <v>108</v>
      </c>
      <c r="D10" s="97"/>
      <c r="E10" s="100" t="e">
        <f>(B21*1.34+6.7)/POWER((170.18/Planilla!H10),3)</f>
        <v>#NUM!</v>
      </c>
      <c r="F10" s="100" t="e">
        <f>(E10/G14)*100</f>
        <v>#NUM!</v>
      </c>
      <c r="G10" s="85" t="s">
        <v>84</v>
      </c>
      <c r="H10" s="86" t="e">
        <f>F7</f>
        <v>#NUM!</v>
      </c>
    </row>
    <row r="11" spans="1:10">
      <c r="A11" s="88"/>
      <c r="B11" s="95" t="s">
        <v>67</v>
      </c>
      <c r="C11" s="96"/>
      <c r="D11" s="97"/>
      <c r="E11" s="98" t="e">
        <f>(B25*1.24+6.1)/POWER((89.92/Planilla!H11),3)</f>
        <v>#NUM!</v>
      </c>
      <c r="F11" s="98" t="e">
        <f>(E11/G14)*100</f>
        <v>#NUM!</v>
      </c>
      <c r="G11" s="84"/>
      <c r="H11" s="84"/>
    </row>
    <row r="12" spans="1:10">
      <c r="A12" s="88"/>
      <c r="B12" s="95" t="s">
        <v>68</v>
      </c>
      <c r="C12" s="96"/>
      <c r="D12" s="97"/>
      <c r="E12" s="98" t="e">
        <f>(B29*5.4+24.5)/POWER((170.18/Planilla!H10),3)</f>
        <v>#NUM!</v>
      </c>
      <c r="F12" s="98" t="e">
        <f>(E12/G14)*100</f>
        <v>#NUM!</v>
      </c>
      <c r="G12" s="84"/>
      <c r="H12" s="84"/>
    </row>
    <row r="13" spans="1:10">
      <c r="A13" s="84"/>
      <c r="B13" s="84"/>
      <c r="C13" s="84"/>
      <c r="D13" s="61"/>
      <c r="E13" s="84"/>
      <c r="F13" s="84"/>
      <c r="G13" s="84"/>
      <c r="H13" s="84"/>
    </row>
    <row r="14" spans="1:10">
      <c r="A14" s="101"/>
      <c r="B14" s="90"/>
      <c r="C14" s="90"/>
      <c r="D14" s="89"/>
      <c r="E14" s="95" t="s">
        <v>69</v>
      </c>
      <c r="F14" s="102"/>
      <c r="G14" s="98" t="e">
        <f>G4+G5</f>
        <v>#NUM!</v>
      </c>
      <c r="H14" s="98" t="e">
        <f>H4+H5</f>
        <v>#NUM!</v>
      </c>
    </row>
    <row r="15" spans="1:10">
      <c r="A15" s="61"/>
      <c r="B15" s="61"/>
      <c r="C15" s="61"/>
      <c r="D15" s="61"/>
      <c r="E15" s="87" t="s">
        <v>423</v>
      </c>
      <c r="F15" s="87" t="s">
        <v>422</v>
      </c>
      <c r="G15" s="61"/>
      <c r="H15" s="61"/>
    </row>
    <row r="16" spans="1:10">
      <c r="A16" s="101"/>
      <c r="B16" s="103" t="s">
        <v>421</v>
      </c>
      <c r="C16" s="96"/>
      <c r="D16" s="102"/>
      <c r="E16" s="104" t="e">
        <f>(G14-Planilla!H9)/G14</f>
        <v>#NUM!</v>
      </c>
      <c r="F16" s="92" t="e">
        <f>G14-Planilla!H9</f>
        <v>#NUM!</v>
      </c>
      <c r="G16" s="94" t="s">
        <v>83</v>
      </c>
      <c r="H16" s="61"/>
    </row>
    <row r="17" spans="1:10">
      <c r="A17" s="101"/>
      <c r="B17" s="90"/>
      <c r="C17" s="103" t="s">
        <v>73</v>
      </c>
      <c r="D17" s="96"/>
      <c r="E17" s="97"/>
      <c r="F17" s="91" t="e">
        <f>Planilla!H10-Planilla!H11</f>
        <v>#NUM!</v>
      </c>
      <c r="G17" s="94" t="s">
        <v>106</v>
      </c>
      <c r="H17" s="61"/>
    </row>
    <row r="18" spans="1:10">
      <c r="A18" s="12" t="s">
        <v>74</v>
      </c>
      <c r="B18" s="12" t="s">
        <v>75</v>
      </c>
      <c r="C18" s="7"/>
      <c r="D18" s="7"/>
      <c r="E18" s="7"/>
      <c r="F18" s="7"/>
      <c r="G18" s="7"/>
      <c r="H18" s="7"/>
    </row>
    <row r="19" spans="1:10">
      <c r="A19" s="12" t="e">
        <f>(Planilla!H37-56)/1.44</f>
        <v>#NUM!</v>
      </c>
      <c r="B19" s="12" t="e">
        <f>SUM(Planilla!H24,Planilla!H25,(2*Planilla!H28),(2*Planilla!H30))</f>
        <v>#NUM!</v>
      </c>
      <c r="C19" s="7"/>
      <c r="D19" s="7"/>
      <c r="E19" s="105" t="s">
        <v>424</v>
      </c>
      <c r="F19" s="7"/>
      <c r="G19" s="7"/>
      <c r="H19" s="7"/>
    </row>
    <row r="20" spans="1:10">
      <c r="A20" s="12" t="s">
        <v>77</v>
      </c>
      <c r="B20" s="12" t="s">
        <v>76</v>
      </c>
      <c r="C20" s="7"/>
      <c r="D20" s="7"/>
      <c r="E20" s="7"/>
      <c r="F20" s="7"/>
      <c r="G20" s="7"/>
      <c r="H20" s="7"/>
    </row>
    <row r="21" spans="1:10">
      <c r="A21" s="15" t="e">
        <f>Planilla!H47+Planilla!H48+Planilla!H52+Planilla!H53+Planilla!H54+Planilla!H55</f>
        <v>#NUM!</v>
      </c>
      <c r="B21" s="11" t="e">
        <f>(B19*(170.18/Planilla!H10)-98.88)/5.33</f>
        <v>#NUM!</v>
      </c>
      <c r="C21" s="47" t="s">
        <v>113</v>
      </c>
      <c r="D21" s="47"/>
      <c r="E21" s="47"/>
      <c r="F21" s="47"/>
      <c r="G21" s="16"/>
      <c r="H21" s="7"/>
      <c r="I21" s="2"/>
      <c r="J21" s="2"/>
    </row>
    <row r="22" spans="1:10">
      <c r="A22" s="12" t="s">
        <v>78</v>
      </c>
      <c r="B22" s="12" t="s">
        <v>81</v>
      </c>
      <c r="C22" s="7"/>
      <c r="D22" s="7"/>
      <c r="E22" s="7"/>
      <c r="F22" s="7"/>
      <c r="G22" s="7"/>
      <c r="H22" s="7"/>
      <c r="I22" s="2"/>
      <c r="J22" s="2"/>
    </row>
    <row r="23" spans="1:10">
      <c r="A23" s="12" t="e">
        <f>(A21*(170.18/Planilla!H10)-116.41)/34.79</f>
        <v>#NUM!</v>
      </c>
      <c r="B23" s="12" t="e">
        <f>Planilla!H27+Planilla!H26+(Planilla!H40-(3.14*Planilla!H53/10))</f>
        <v>#NUM!</v>
      </c>
      <c r="C23" s="7"/>
      <c r="D23" s="7"/>
      <c r="E23" s="7"/>
      <c r="F23" s="7"/>
      <c r="G23" s="7"/>
      <c r="H23" s="7"/>
    </row>
    <row r="24" spans="1:10">
      <c r="A24" s="14"/>
      <c r="B24" s="12" t="s">
        <v>82</v>
      </c>
      <c r="C24" s="7"/>
      <c r="D24" s="7"/>
      <c r="E24" s="7"/>
      <c r="F24" s="7"/>
      <c r="G24" s="7"/>
      <c r="H24" s="7"/>
    </row>
    <row r="25" spans="1:10">
      <c r="A25" s="14"/>
      <c r="B25" s="12" t="e">
        <f>(B23*(89.92/Planilla!H11)-109.35)/7.08</f>
        <v>#NUM!</v>
      </c>
      <c r="C25" s="7"/>
      <c r="D25" s="7"/>
      <c r="E25" s="7"/>
      <c r="F25" s="7"/>
      <c r="G25" s="7"/>
      <c r="H25" s="7"/>
    </row>
    <row r="26" spans="1:10">
      <c r="A26" s="14"/>
      <c r="B26" s="12" t="s">
        <v>79</v>
      </c>
      <c r="C26" s="7"/>
      <c r="D26" s="7"/>
      <c r="E26" s="7"/>
      <c r="F26" s="7"/>
      <c r="G26" s="7"/>
      <c r="H26" s="7"/>
    </row>
    <row r="27" spans="1:10">
      <c r="A27" s="14"/>
      <c r="B27" s="12" t="e">
        <f>(Planilla!H33-(3.14*Planilla!H47/10))+Planilla!H35+(Planilla!H43-(3.14*Planilla!H54/10))+(Planilla!H44-(3.14*Planilla!H55/10))+(Planilla!H39-(3.14*Planilla!H48/10))</f>
        <v>#NUM!</v>
      </c>
      <c r="C27" s="7"/>
      <c r="D27" s="7"/>
      <c r="E27" s="7"/>
      <c r="F27" s="7"/>
      <c r="G27" s="7"/>
      <c r="H27" s="7"/>
    </row>
    <row r="28" spans="1:10">
      <c r="A28" s="14"/>
      <c r="B28" s="12" t="s">
        <v>80</v>
      </c>
      <c r="C28" s="7"/>
      <c r="D28" s="7"/>
      <c r="E28" s="7"/>
      <c r="F28" s="7"/>
      <c r="G28" s="7"/>
      <c r="H28" s="7"/>
    </row>
    <row r="29" spans="1:10">
      <c r="A29" s="14"/>
      <c r="B29" s="12" t="e">
        <f>(B27*(170.18/Planilla!H10)-207.21)/13.74</f>
        <v>#NUM!</v>
      </c>
      <c r="C29" s="7"/>
      <c r="D29" s="7"/>
      <c r="E29" s="7"/>
      <c r="F29" s="7"/>
      <c r="G29" s="7"/>
      <c r="H29" s="7"/>
    </row>
    <row r="30" spans="1:10">
      <c r="A30" s="7"/>
      <c r="B30" s="7"/>
      <c r="C30" s="7"/>
      <c r="D30" s="7"/>
      <c r="E30" s="7"/>
      <c r="F30" s="7"/>
      <c r="G30" s="7"/>
      <c r="H30" s="7"/>
    </row>
    <row r="31" spans="1:10">
      <c r="A31" s="7"/>
      <c r="B31" s="7"/>
      <c r="C31" s="7"/>
      <c r="D31" s="7"/>
      <c r="E31" s="7"/>
      <c r="F31" s="7"/>
      <c r="G31" s="7"/>
      <c r="H31" s="7"/>
    </row>
    <row r="32" spans="1:10">
      <c r="A32" s="7"/>
      <c r="B32" s="7"/>
      <c r="C32" s="7"/>
      <c r="D32" s="7"/>
      <c r="E32" s="7"/>
      <c r="F32" s="7"/>
      <c r="G32" s="7"/>
      <c r="H32" s="7"/>
    </row>
    <row r="33" spans="1:8">
      <c r="A33" s="7"/>
      <c r="B33" s="7"/>
      <c r="C33" s="7"/>
      <c r="D33" s="7"/>
      <c r="E33" s="7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6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  <row r="37" spans="1:8">
      <c r="A37" s="6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6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48" spans="1:8">
      <c r="A48" s="7"/>
      <c r="B48" s="7"/>
      <c r="C48" s="7"/>
      <c r="D48" s="7"/>
      <c r="E48" s="7"/>
      <c r="F48" s="7"/>
      <c r="G48" s="7"/>
      <c r="H48" s="7"/>
    </row>
    <row r="49" spans="1:8">
      <c r="A49" s="7"/>
      <c r="B49" s="7"/>
      <c r="C49" s="7"/>
      <c r="D49" s="7"/>
      <c r="E49" s="7"/>
      <c r="F49" s="7"/>
      <c r="G49" s="7"/>
      <c r="H49" s="6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6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</sheetData>
  <sheetProtection password="962F" sheet="1" objects="1" scenarios="1"/>
  <phoneticPr fontId="0" type="noConversion"/>
  <hyperlinks>
    <hyperlink ref="C21:F21" location="Fraccionamiento!C53" tooltip="Gráfico de cinco componentes" display="Ir al Gráfico de Fraccionamiento en 5 componentes"/>
    <hyperlink ref="C21" location="Fraccionamiento!A50" display="Ir al Gráfico de Fraccionamiento en 5 componentes"/>
    <hyperlink ref="A1" location="Presentación!A1" tooltip="Página Principal" display="PRESENTACIÓN"/>
    <hyperlink ref="B1" location="Planilla!A1" tooltip="Planilla Antropométrica Básica" display="PLANILLA"/>
    <hyperlink ref="C1" location="Somatotipo!A1" tooltip="Ir a la pantalla Somatotipo" display="SOMATOTIPO"/>
    <hyperlink ref="D1:E1" location="Proporcionalidad!A1" display="PROPORCIONALIDAD"/>
    <hyperlink ref="F1" location="Índices!A1" tooltip="Índices de salud" display="ÍNDICES"/>
    <hyperlink ref="G1:H1" location="Índices!A47" display="REFERENCIAS"/>
    <hyperlink ref="D1" location="Proporcionalidad!A1" tooltip="Ir a la pantalla Proporcionalidad" display="PROPORCIONALIDAD"/>
    <hyperlink ref="G1" location="Índices!A47" tooltip="Pantalla de Referencias" display="REFERENCIAS"/>
    <hyperlink ref="E19" location="Fraccionamiento!B46" display="VER GRÁFICO"/>
  </hyperlinks>
  <pageMargins left="0.59055118110236227" right="0.19685039370078741" top="0.39370078740157483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 filterMode="1"/>
  <dimension ref="A1:J358"/>
  <sheetViews>
    <sheetView zoomScale="125" zoomScaleNormal="125" workbookViewId="0">
      <selection activeCell="C1" sqref="C1"/>
    </sheetView>
  </sheetViews>
  <sheetFormatPr baseColWidth="10" defaultRowHeight="12.75"/>
  <cols>
    <col min="1" max="1" width="7.7109375" customWidth="1"/>
    <col min="2" max="2" width="8.7109375" customWidth="1"/>
    <col min="3" max="3" width="8.7109375" style="4" customWidth="1"/>
    <col min="4" max="4" width="35.7109375" customWidth="1"/>
    <col min="5" max="8" width="6.28515625" customWidth="1"/>
    <col min="9" max="9" width="6.28515625" style="4" customWidth="1"/>
  </cols>
  <sheetData>
    <row r="1" spans="1:10">
      <c r="A1" s="101"/>
      <c r="B1" s="101"/>
      <c r="C1" s="137" t="s">
        <v>115</v>
      </c>
      <c r="D1" s="107" t="s">
        <v>119</v>
      </c>
      <c r="E1" s="107" t="s">
        <v>116</v>
      </c>
      <c r="F1" s="107" t="s">
        <v>117</v>
      </c>
      <c r="G1" s="108" t="s">
        <v>118</v>
      </c>
      <c r="H1" s="108" t="s">
        <v>104</v>
      </c>
      <c r="I1" s="109"/>
    </row>
    <row r="2" spans="1:10">
      <c r="A2" s="101"/>
      <c r="B2" s="101"/>
      <c r="C2" s="138"/>
      <c r="D2" s="106"/>
      <c r="E2" s="110"/>
      <c r="F2" s="50"/>
      <c r="G2" s="50"/>
      <c r="H2" s="50"/>
      <c r="I2" s="111"/>
    </row>
    <row r="3" spans="1:10" ht="12.75" customHeight="1">
      <c r="A3" s="139" t="s">
        <v>425</v>
      </c>
      <c r="B3" s="140"/>
      <c r="C3" s="141"/>
      <c r="D3" s="112" t="s">
        <v>85</v>
      </c>
      <c r="E3" s="113"/>
      <c r="F3" s="114"/>
      <c r="G3" s="115"/>
      <c r="H3" s="116"/>
      <c r="I3" s="111"/>
    </row>
    <row r="4" spans="1:10">
      <c r="A4" s="151" t="s">
        <v>86</v>
      </c>
      <c r="B4" s="152"/>
      <c r="C4" s="153" t="e">
        <f>-0.7182+0.1451*A11-0.00068*(A11*A11)+0.0000014*(A11*A11*A11)</f>
        <v>#NUM!</v>
      </c>
      <c r="D4" s="117"/>
      <c r="E4" s="118"/>
      <c r="F4" s="119"/>
      <c r="G4" s="120"/>
      <c r="H4" s="121"/>
      <c r="I4" s="111"/>
    </row>
    <row r="5" spans="1:10">
      <c r="A5" s="154"/>
      <c r="B5" s="155"/>
      <c r="C5" s="156"/>
      <c r="D5" s="200" t="s">
        <v>137</v>
      </c>
      <c r="E5" s="122"/>
      <c r="F5" s="123"/>
      <c r="G5" s="124"/>
      <c r="H5" s="125"/>
      <c r="I5" s="111"/>
    </row>
    <row r="6" spans="1:10">
      <c r="A6" s="151" t="s">
        <v>87</v>
      </c>
      <c r="B6" s="157"/>
      <c r="C6" s="153" t="e">
        <f>(0.858*Planilla!H28+0.601*Planilla!H30+0.188*(Planilla!H34-(Planilla!H47/10))+0.161*(Planilla!H44-(Planilla!H55/10)))-(Planilla!H10*0.131)+4.5</f>
        <v>#NUM!</v>
      </c>
      <c r="D6" s="117"/>
      <c r="E6" s="118"/>
      <c r="F6" s="119"/>
      <c r="G6" s="120"/>
      <c r="H6" s="121"/>
      <c r="I6" s="111"/>
    </row>
    <row r="7" spans="1:10">
      <c r="A7" s="158"/>
      <c r="B7" s="159"/>
      <c r="C7" s="160"/>
      <c r="D7" s="126"/>
      <c r="E7" s="122"/>
      <c r="F7" s="123"/>
      <c r="G7" s="124"/>
      <c r="H7" s="125"/>
      <c r="I7" s="111"/>
    </row>
    <row r="8" spans="1:10">
      <c r="A8" s="151" t="s">
        <v>88</v>
      </c>
      <c r="B8" s="157"/>
      <c r="C8" s="153" t="e">
        <f>IF(A12&lt;38.25,0.1,IF(A12&lt;40.75,A14,A13))</f>
        <v>#NUM!</v>
      </c>
      <c r="D8" s="142" t="s">
        <v>133</v>
      </c>
      <c r="E8" s="143"/>
      <c r="F8" s="144"/>
      <c r="G8" s="145"/>
      <c r="H8" s="146"/>
      <c r="I8" s="138"/>
    </row>
    <row r="9" spans="1:10">
      <c r="A9" s="154"/>
      <c r="B9" s="162"/>
      <c r="C9" s="163"/>
      <c r="D9" s="161" t="s">
        <v>105</v>
      </c>
      <c r="E9" s="147" t="e">
        <f>C4</f>
        <v>#NUM!</v>
      </c>
      <c r="F9" s="147" t="e">
        <f>C6</f>
        <v>#NUM!</v>
      </c>
      <c r="G9" s="148" t="e">
        <f>C8</f>
        <v>#NUM!</v>
      </c>
      <c r="H9" s="149" t="s">
        <v>388</v>
      </c>
      <c r="I9" s="150" t="s">
        <v>389</v>
      </c>
    </row>
    <row r="10" spans="1:10">
      <c r="A10" s="50"/>
      <c r="B10" s="127"/>
      <c r="C10" s="128" t="s">
        <v>390</v>
      </c>
      <c r="D10" s="129" t="s">
        <v>138</v>
      </c>
      <c r="E10" s="130" t="s">
        <v>134</v>
      </c>
      <c r="F10" s="130" t="s">
        <v>135</v>
      </c>
      <c r="G10" s="130" t="s">
        <v>136</v>
      </c>
      <c r="H10" s="131" t="e">
        <f>C8-C4</f>
        <v>#NUM!</v>
      </c>
      <c r="I10" s="131" t="e">
        <f>2*C6-(C8+C4)</f>
        <v>#NUM!</v>
      </c>
    </row>
    <row r="11" spans="1:10" hidden="1">
      <c r="A11" s="26" t="e">
        <f>(Planilla!H47+Planilla!H48+Planilla!H52)*(170.18/Planilla!H10)</f>
        <v>#NUM!</v>
      </c>
      <c r="B11" s="18"/>
      <c r="C11" s="22" t="e">
        <f>POWER(C4-E11,2)+POWER(C6-F11,2)+POWER(C8-G11,2)</f>
        <v>#NUM!</v>
      </c>
      <c r="D11" s="27" t="s">
        <v>139</v>
      </c>
      <c r="E11" s="28">
        <v>2.63</v>
      </c>
      <c r="F11" s="28">
        <v>4.3499999999999996</v>
      </c>
      <c r="G11" s="28">
        <v>3.24</v>
      </c>
      <c r="H11" s="25">
        <f>G11-E11</f>
        <v>0.61000000000000032</v>
      </c>
      <c r="I11" s="29">
        <f>2*F11-(G11+E11)</f>
        <v>2.8299999999999992</v>
      </c>
      <c r="J11" s="5"/>
    </row>
    <row r="12" spans="1:10" hidden="1">
      <c r="A12" s="30" t="e">
        <f>Planilla!H10/EXP((1/3*LN(Planilla!H9)))</f>
        <v>#NUM!</v>
      </c>
      <c r="B12" s="19"/>
      <c r="C12" s="22" t="e">
        <f>POWER(C4-E12,2)+POWER(C6-F12,2)+POWER(C8-G12,2)</f>
        <v>#NUM!</v>
      </c>
      <c r="D12" s="27" t="s">
        <v>140</v>
      </c>
      <c r="E12" s="28">
        <v>2.06</v>
      </c>
      <c r="F12" s="28">
        <v>4.1100000000000003</v>
      </c>
      <c r="G12" s="28">
        <v>3.85</v>
      </c>
      <c r="H12" s="25">
        <f>G12-E12</f>
        <v>1.79</v>
      </c>
      <c r="I12" s="29">
        <f>2*F12-(G12+E12)</f>
        <v>2.3100000000000005</v>
      </c>
      <c r="J12" s="5"/>
    </row>
    <row r="13" spans="1:10" hidden="1">
      <c r="A13" s="30" t="e">
        <f>0.732*A12-28.58</f>
        <v>#NUM!</v>
      </c>
      <c r="B13" s="20"/>
      <c r="C13" s="22" t="e">
        <f>POWER(C4-E13,2)+POWER(C6-F13,2)+POWER(C8-G13,2)</f>
        <v>#NUM!</v>
      </c>
      <c r="D13" s="27" t="s">
        <v>141</v>
      </c>
      <c r="E13" s="28">
        <v>2.27</v>
      </c>
      <c r="F13" s="28">
        <v>4.1900000000000004</v>
      </c>
      <c r="G13" s="28">
        <v>3.6</v>
      </c>
      <c r="H13" s="25">
        <f t="shared" ref="H13:H76" si="0">G13-E13</f>
        <v>1.33</v>
      </c>
      <c r="I13" s="29">
        <f t="shared" ref="I13:I76" si="1">2*F13-(G13+E13)</f>
        <v>2.5100000000000007</v>
      </c>
    </row>
    <row r="14" spans="1:10" hidden="1">
      <c r="A14" s="30" t="e">
        <f>0.463*A12-17.63</f>
        <v>#NUM!</v>
      </c>
      <c r="B14" s="21"/>
      <c r="C14" s="22" t="e">
        <f>POWER(C4-E14,2)+POWER(C6-F14,2)+POWER(C8-G14,2)</f>
        <v>#NUM!</v>
      </c>
      <c r="D14" s="27" t="s">
        <v>142</v>
      </c>
      <c r="E14" s="28">
        <v>2.34</v>
      </c>
      <c r="F14" s="28">
        <v>4.3099999999999996</v>
      </c>
      <c r="G14" s="28">
        <v>3.33</v>
      </c>
      <c r="H14" s="25">
        <f t="shared" si="0"/>
        <v>0.99000000000000021</v>
      </c>
      <c r="I14" s="29">
        <f t="shared" si="1"/>
        <v>2.9499999999999993</v>
      </c>
    </row>
    <row r="15" spans="1:10" hidden="1">
      <c r="A15" s="13"/>
      <c r="B15" s="13"/>
      <c r="C15" s="22" t="e">
        <f>POWER(C4-E15,2)+POWER(C6-F15,2)+POWER(C8-G15,2)</f>
        <v>#NUM!</v>
      </c>
      <c r="D15" s="27" t="s">
        <v>143</v>
      </c>
      <c r="E15" s="28">
        <v>2.31</v>
      </c>
      <c r="F15" s="28">
        <v>4.18</v>
      </c>
      <c r="G15" s="28">
        <v>3.51</v>
      </c>
      <c r="H15" s="25">
        <f t="shared" si="0"/>
        <v>1.1999999999999997</v>
      </c>
      <c r="I15" s="29">
        <f t="shared" si="1"/>
        <v>2.5399999999999991</v>
      </c>
    </row>
    <row r="16" spans="1:10" hidden="1">
      <c r="A16" s="31"/>
      <c r="B16" s="32"/>
      <c r="C16" s="22" t="e">
        <f>POWER(C4-E16,2)+POWER(C6-F16,2)+POWER(C8-G16,2)</f>
        <v>#NUM!</v>
      </c>
      <c r="D16" s="27" t="s">
        <v>144</v>
      </c>
      <c r="E16" s="28">
        <v>2.5299999999999998</v>
      </c>
      <c r="F16" s="28">
        <v>4.37</v>
      </c>
      <c r="G16" s="28">
        <v>3.16</v>
      </c>
      <c r="H16" s="25">
        <f t="shared" si="0"/>
        <v>0.63000000000000034</v>
      </c>
      <c r="I16" s="29">
        <f t="shared" si="1"/>
        <v>3.0500000000000007</v>
      </c>
    </row>
    <row r="17" spans="1:9" hidden="1">
      <c r="A17" s="13"/>
      <c r="B17" s="13"/>
      <c r="C17" s="22" t="e">
        <f>POWER(C4-E17,2)+POWER(C6-F17,2)+POWER(C8-G17,2)</f>
        <v>#NUM!</v>
      </c>
      <c r="D17" s="27" t="s">
        <v>145</v>
      </c>
      <c r="E17" s="28">
        <v>2.38</v>
      </c>
      <c r="F17" s="28">
        <v>4.24</v>
      </c>
      <c r="G17" s="28">
        <v>2.89</v>
      </c>
      <c r="H17" s="25">
        <f t="shared" si="0"/>
        <v>0.51000000000000023</v>
      </c>
      <c r="I17" s="29">
        <f t="shared" si="1"/>
        <v>3.2100000000000009</v>
      </c>
    </row>
    <row r="18" spans="1:9" hidden="1">
      <c r="A18" s="33"/>
      <c r="B18" s="33"/>
      <c r="C18" s="22" t="e">
        <f>POWER(C4-E18,2)+POWER(C6-F18,2)+POWER(C8-G18,2)</f>
        <v>#NUM!</v>
      </c>
      <c r="D18" s="27" t="s">
        <v>146</v>
      </c>
      <c r="E18" s="28">
        <v>1.8</v>
      </c>
      <c r="F18" s="28">
        <v>4.0999999999999996</v>
      </c>
      <c r="G18" s="28">
        <v>3.9</v>
      </c>
      <c r="H18" s="25">
        <f t="shared" si="0"/>
        <v>2.0999999999999996</v>
      </c>
      <c r="I18" s="29">
        <f t="shared" si="1"/>
        <v>2.4999999999999991</v>
      </c>
    </row>
    <row r="19" spans="1:9" hidden="1">
      <c r="A19" s="33"/>
      <c r="B19" s="33"/>
      <c r="C19" s="22" t="e">
        <f>POWER(C4-E19,2)+POWER(C6-F19,2)+POWER(C8-G19,2)</f>
        <v>#NUM!</v>
      </c>
      <c r="D19" s="27" t="s">
        <v>147</v>
      </c>
      <c r="E19" s="28">
        <v>1.5</v>
      </c>
      <c r="F19" s="28">
        <v>4.5999999999999996</v>
      </c>
      <c r="G19" s="28">
        <v>3.4</v>
      </c>
      <c r="H19" s="25">
        <f t="shared" si="0"/>
        <v>1.9</v>
      </c>
      <c r="I19" s="29">
        <f t="shared" si="1"/>
        <v>4.2999999999999989</v>
      </c>
    </row>
    <row r="20" spans="1:9" hidden="1">
      <c r="A20" s="33"/>
      <c r="B20" s="34"/>
      <c r="C20" s="22" t="e">
        <f>POWER(C4-E20,2)+POWER(C6-F20,2)+POWER(C8-G20,2)</f>
        <v>#NUM!</v>
      </c>
      <c r="D20" s="27" t="s">
        <v>148</v>
      </c>
      <c r="E20" s="28">
        <v>1.5</v>
      </c>
      <c r="F20" s="28">
        <v>4.3</v>
      </c>
      <c r="G20" s="28">
        <v>3.6</v>
      </c>
      <c r="H20" s="25">
        <f t="shared" si="0"/>
        <v>2.1</v>
      </c>
      <c r="I20" s="29">
        <f t="shared" si="1"/>
        <v>3.5</v>
      </c>
    </row>
    <row r="21" spans="1:9" hidden="1">
      <c r="A21" s="33"/>
      <c r="B21" s="34"/>
      <c r="C21" s="22" t="e">
        <f>POWER(C4-E21,2)+POWER(C6-F21,2)+POWER(C8-G21,2)</f>
        <v>#NUM!</v>
      </c>
      <c r="D21" s="27" t="s">
        <v>149</v>
      </c>
      <c r="E21" s="28">
        <v>1.8</v>
      </c>
      <c r="F21" s="28">
        <v>5.6</v>
      </c>
      <c r="G21" s="28">
        <v>2.4</v>
      </c>
      <c r="H21" s="25">
        <f t="shared" si="0"/>
        <v>0.59999999999999987</v>
      </c>
      <c r="I21" s="29">
        <f t="shared" si="1"/>
        <v>6.9999999999999991</v>
      </c>
    </row>
    <row r="22" spans="1:9" hidden="1">
      <c r="A22" s="33"/>
      <c r="B22" s="34"/>
      <c r="C22" s="22" t="e">
        <f>POWER(C4-E22,2)+POWER(C6-F22,2)+POWER(C8-G22,2)</f>
        <v>#NUM!</v>
      </c>
      <c r="D22" s="27" t="s">
        <v>150</v>
      </c>
      <c r="E22" s="28">
        <v>1.4</v>
      </c>
      <c r="F22" s="28">
        <v>4.2</v>
      </c>
      <c r="G22" s="28">
        <v>3.7</v>
      </c>
      <c r="H22" s="25">
        <f t="shared" si="0"/>
        <v>2.3000000000000003</v>
      </c>
      <c r="I22" s="29">
        <f t="shared" si="1"/>
        <v>3.3000000000000007</v>
      </c>
    </row>
    <row r="23" spans="1:9" hidden="1">
      <c r="A23" s="33"/>
      <c r="B23" s="33"/>
      <c r="C23" s="22" t="e">
        <f>POWER(C4-E23,2)+POWER(C6-F23,2)+POWER(C8-G23,2)</f>
        <v>#NUM!</v>
      </c>
      <c r="D23" s="27" t="s">
        <v>151</v>
      </c>
      <c r="E23" s="28">
        <v>2.2999999999999998</v>
      </c>
      <c r="F23" s="28">
        <v>5.9</v>
      </c>
      <c r="G23" s="28">
        <v>2.1</v>
      </c>
      <c r="H23" s="25">
        <f t="shared" si="0"/>
        <v>-0.19999999999999973</v>
      </c>
      <c r="I23" s="29">
        <f t="shared" si="1"/>
        <v>7.4</v>
      </c>
    </row>
    <row r="24" spans="1:9" hidden="1">
      <c r="A24" s="13"/>
      <c r="B24" s="30"/>
      <c r="C24" s="22" t="e">
        <f>POWER(C4-E24,2)+POWER(C6-F24,2)+POWER(C8-G24,2)</f>
        <v>#NUM!</v>
      </c>
      <c r="D24" s="27" t="s">
        <v>152</v>
      </c>
      <c r="E24" s="28">
        <v>3.2</v>
      </c>
      <c r="F24" s="28">
        <v>7.1</v>
      </c>
      <c r="G24" s="28">
        <v>1.1000000000000001</v>
      </c>
      <c r="H24" s="25">
        <f t="shared" si="0"/>
        <v>-2.1</v>
      </c>
      <c r="I24" s="29">
        <f t="shared" si="1"/>
        <v>9.8999999999999986</v>
      </c>
    </row>
    <row r="25" spans="1:9" hidden="1">
      <c r="A25" s="13"/>
      <c r="B25" s="30"/>
      <c r="C25" s="22" t="e">
        <f>POWER(C4-E25,2)+POWER(C6-F25,2)+POWER(C8-G25,2)</f>
        <v>#NUM!</v>
      </c>
      <c r="D25" s="27" t="s">
        <v>153</v>
      </c>
      <c r="E25" s="28">
        <v>1.4</v>
      </c>
      <c r="F25" s="28">
        <v>4.4000000000000004</v>
      </c>
      <c r="G25" s="28">
        <v>3.4</v>
      </c>
      <c r="H25" s="25">
        <f t="shared" si="0"/>
        <v>2</v>
      </c>
      <c r="I25" s="29">
        <f t="shared" si="1"/>
        <v>4.0000000000000009</v>
      </c>
    </row>
    <row r="26" spans="1:9" hidden="1">
      <c r="A26" s="13"/>
      <c r="B26" s="13"/>
      <c r="C26" s="22" t="e">
        <f>POWER(C4-E26,2)+POWER(C6-F26,2)+POWER(C8-G26,2)</f>
        <v>#NUM!</v>
      </c>
      <c r="D26" s="27" t="s">
        <v>154</v>
      </c>
      <c r="E26" s="28">
        <v>1.6</v>
      </c>
      <c r="F26" s="28">
        <v>4.7</v>
      </c>
      <c r="G26" s="28">
        <v>3.4</v>
      </c>
      <c r="H26" s="25">
        <f t="shared" si="0"/>
        <v>1.7999999999999998</v>
      </c>
      <c r="I26" s="29">
        <f t="shared" si="1"/>
        <v>4.4000000000000004</v>
      </c>
    </row>
    <row r="27" spans="1:9" hidden="1">
      <c r="A27" s="13"/>
      <c r="B27" s="13"/>
      <c r="C27" s="22" t="e">
        <f>POWER(C4-E27,2)+POWER(C6-F27,2)+POWER(C8-G27,2)</f>
        <v>#NUM!</v>
      </c>
      <c r="D27" s="27" t="s">
        <v>155</v>
      </c>
      <c r="E27" s="28">
        <v>1.7</v>
      </c>
      <c r="F27" s="28">
        <v>4.5999999999999996</v>
      </c>
      <c r="G27" s="28">
        <v>3.4</v>
      </c>
      <c r="H27" s="25">
        <f t="shared" si="0"/>
        <v>1.7</v>
      </c>
      <c r="I27" s="29">
        <f t="shared" si="1"/>
        <v>4.0999999999999996</v>
      </c>
    </row>
    <row r="28" spans="1:9" hidden="1">
      <c r="A28" s="13"/>
      <c r="B28" s="13"/>
      <c r="C28" s="22" t="e">
        <f>POWER(C4-E28,2)+POWER(C6-F28,2)+POWER(C8-G28,2)</f>
        <v>#NUM!</v>
      </c>
      <c r="D28" s="27" t="s">
        <v>156</v>
      </c>
      <c r="E28" s="28">
        <v>1.7</v>
      </c>
      <c r="F28" s="28">
        <v>5.2</v>
      </c>
      <c r="G28" s="28">
        <v>2.8</v>
      </c>
      <c r="H28" s="25">
        <f t="shared" si="0"/>
        <v>1.0999999999999999</v>
      </c>
      <c r="I28" s="29">
        <f t="shared" si="1"/>
        <v>5.9</v>
      </c>
    </row>
    <row r="29" spans="1:9" hidden="1">
      <c r="A29" s="13"/>
      <c r="B29" s="13"/>
      <c r="C29" s="22" t="e">
        <f>POWER(C4-E29,2)+POWER(C6-F29,2)+POWER(C8-G29,2)</f>
        <v>#NUM!</v>
      </c>
      <c r="D29" s="27" t="s">
        <v>157</v>
      </c>
      <c r="E29" s="28">
        <v>1.9</v>
      </c>
      <c r="F29" s="28">
        <v>3.8</v>
      </c>
      <c r="G29" s="28">
        <v>3.6</v>
      </c>
      <c r="H29" s="25">
        <f t="shared" si="0"/>
        <v>1.7000000000000002</v>
      </c>
      <c r="I29" s="29">
        <f t="shared" si="1"/>
        <v>2.0999999999999996</v>
      </c>
    </row>
    <row r="30" spans="1:9" hidden="1">
      <c r="A30" s="13"/>
      <c r="B30" s="13"/>
      <c r="C30" s="22" t="e">
        <f>POWER(C4-E30,2)+POWER(C6-F30,2)+POWER(C8-G30,2)</f>
        <v>#NUM!</v>
      </c>
      <c r="D30" s="27" t="s">
        <v>158</v>
      </c>
      <c r="E30" s="28">
        <v>1.8</v>
      </c>
      <c r="F30" s="28">
        <v>4.0999999999999996</v>
      </c>
      <c r="G30" s="28">
        <v>3.5</v>
      </c>
      <c r="H30" s="25">
        <f t="shared" si="0"/>
        <v>1.7</v>
      </c>
      <c r="I30" s="29">
        <f t="shared" si="1"/>
        <v>2.8999999999999995</v>
      </c>
    </row>
    <row r="31" spans="1:9" hidden="1">
      <c r="A31" s="13"/>
      <c r="B31" s="13"/>
      <c r="C31" s="22" t="e">
        <f>POWER(C4-E31,2)+POWER(C6-F31,2)+POWER(C8-G31,2)</f>
        <v>#NUM!</v>
      </c>
      <c r="D31" s="27" t="s">
        <v>159</v>
      </c>
      <c r="E31" s="28">
        <v>2</v>
      </c>
      <c r="F31" s="28">
        <v>4</v>
      </c>
      <c r="G31" s="28">
        <v>3.6</v>
      </c>
      <c r="H31" s="25">
        <f t="shared" si="0"/>
        <v>1.6</v>
      </c>
      <c r="I31" s="29">
        <f t="shared" si="1"/>
        <v>2.4000000000000004</v>
      </c>
    </row>
    <row r="32" spans="1:9" hidden="1">
      <c r="A32" s="13"/>
      <c r="B32" s="13"/>
      <c r="C32" s="22" t="e">
        <f>POWER(C4-E32,2)+POWER(C6-F32,2)+POWER(C8-G32,2)</f>
        <v>#NUM!</v>
      </c>
      <c r="D32" s="27" t="s">
        <v>160</v>
      </c>
      <c r="E32" s="28">
        <v>1.8</v>
      </c>
      <c r="F32" s="28">
        <v>4.0999999999999996</v>
      </c>
      <c r="G32" s="28">
        <v>3.6</v>
      </c>
      <c r="H32" s="25">
        <f t="shared" si="0"/>
        <v>1.8</v>
      </c>
      <c r="I32" s="29">
        <f t="shared" si="1"/>
        <v>2.7999999999999989</v>
      </c>
    </row>
    <row r="33" spans="1:9" hidden="1">
      <c r="A33" s="13"/>
      <c r="B33" s="13"/>
      <c r="C33" s="22" t="e">
        <f>POWER(C4-E33,2)+POWER(C6-F33,2)+POWER(C8-G33,2)</f>
        <v>#NUM!</v>
      </c>
      <c r="D33" s="27" t="s">
        <v>161</v>
      </c>
      <c r="E33" s="28">
        <v>1.9</v>
      </c>
      <c r="F33" s="28">
        <v>4.8</v>
      </c>
      <c r="G33" s="28">
        <v>2.8</v>
      </c>
      <c r="H33" s="25">
        <f t="shared" si="0"/>
        <v>0.89999999999999991</v>
      </c>
      <c r="I33" s="29">
        <f t="shared" si="1"/>
        <v>4.9000000000000004</v>
      </c>
    </row>
    <row r="34" spans="1:9" hidden="1">
      <c r="A34" s="13"/>
      <c r="B34" s="13"/>
      <c r="C34" s="22" t="e">
        <f>POWER(C4-E34,2)+POWER(C6-F34,2)+POWER(C8-G34,2)</f>
        <v>#NUM!</v>
      </c>
      <c r="D34" s="27" t="s">
        <v>162</v>
      </c>
      <c r="E34" s="28">
        <v>4.5999999999999996</v>
      </c>
      <c r="F34" s="28">
        <v>6.2</v>
      </c>
      <c r="G34" s="28">
        <v>0.9</v>
      </c>
      <c r="H34" s="25">
        <f t="shared" si="0"/>
        <v>-3.6999999999999997</v>
      </c>
      <c r="I34" s="29">
        <f t="shared" si="1"/>
        <v>6.9</v>
      </c>
    </row>
    <row r="35" spans="1:9" hidden="1">
      <c r="A35" s="13"/>
      <c r="B35" s="13"/>
      <c r="C35" s="22" t="e">
        <f>POWER(C4-E35,2)+POWER(C6-F35,2)+POWER(C8-G35,2)</f>
        <v>#NUM!</v>
      </c>
      <c r="D35" s="27" t="s">
        <v>163</v>
      </c>
      <c r="E35" s="28">
        <v>2.7</v>
      </c>
      <c r="F35" s="28">
        <v>5.4</v>
      </c>
      <c r="G35" s="28">
        <v>2.2999999999999998</v>
      </c>
      <c r="H35" s="25">
        <f t="shared" si="0"/>
        <v>-0.40000000000000036</v>
      </c>
      <c r="I35" s="29">
        <f t="shared" si="1"/>
        <v>5.8000000000000007</v>
      </c>
    </row>
    <row r="36" spans="1:9" hidden="1">
      <c r="A36" s="13"/>
      <c r="B36" s="13"/>
      <c r="C36" s="22" t="e">
        <f>POWER(C4-E36,2)+POWER(C6-F36,2)+POWER(C8-G36,2)</f>
        <v>#NUM!</v>
      </c>
      <c r="D36" s="27" t="s">
        <v>164</v>
      </c>
      <c r="E36" s="28">
        <v>1.4</v>
      </c>
      <c r="F36" s="28">
        <v>4.2</v>
      </c>
      <c r="G36" s="28">
        <v>3.7</v>
      </c>
      <c r="H36" s="25">
        <f t="shared" si="0"/>
        <v>2.3000000000000003</v>
      </c>
      <c r="I36" s="29">
        <f t="shared" si="1"/>
        <v>3.3000000000000007</v>
      </c>
    </row>
    <row r="37" spans="1:9" hidden="1">
      <c r="A37" s="13"/>
      <c r="B37" s="13"/>
      <c r="C37" s="22" t="e">
        <f>POWER(C4-E37,2)+POWER(C6-F37,2)+POWER(C8-G37,2)</f>
        <v>#NUM!</v>
      </c>
      <c r="D37" s="27" t="s">
        <v>165</v>
      </c>
      <c r="E37" s="28">
        <v>1.5</v>
      </c>
      <c r="F37" s="28">
        <v>4.3</v>
      </c>
      <c r="G37" s="28">
        <v>3.6</v>
      </c>
      <c r="H37" s="25">
        <f t="shared" si="0"/>
        <v>2.1</v>
      </c>
      <c r="I37" s="29">
        <f t="shared" si="1"/>
        <v>3.5</v>
      </c>
    </row>
    <row r="38" spans="1:9">
      <c r="A38" s="50"/>
      <c r="B38" s="50"/>
      <c r="C38" s="132" t="e">
        <f>POWER(C4-E38,2)+POWER(C6-F38,2)+POWER(C8-G38,2)</f>
        <v>#NUM!</v>
      </c>
      <c r="D38" s="133" t="s">
        <v>166</v>
      </c>
      <c r="E38" s="134">
        <v>1.5</v>
      </c>
      <c r="F38" s="134">
        <v>4.5</v>
      </c>
      <c r="G38" s="134">
        <v>3.4</v>
      </c>
      <c r="H38" s="135">
        <f t="shared" si="0"/>
        <v>1.9</v>
      </c>
      <c r="I38" s="136">
        <f t="shared" si="1"/>
        <v>4.0999999999999996</v>
      </c>
    </row>
    <row r="39" spans="1:9" hidden="1">
      <c r="A39" s="13"/>
      <c r="B39" s="13"/>
      <c r="C39" s="22" t="e">
        <f>POWER(C4-E39,2)+POWER(C6-F39,2)+POWER(C8-G39,2)</f>
        <v>#NUM!</v>
      </c>
      <c r="D39" s="27" t="s">
        <v>167</v>
      </c>
      <c r="E39" s="28">
        <v>1.4</v>
      </c>
      <c r="F39" s="28">
        <v>4.4000000000000004</v>
      </c>
      <c r="G39" s="28">
        <v>3.4</v>
      </c>
      <c r="H39" s="25">
        <f t="shared" si="0"/>
        <v>2</v>
      </c>
      <c r="I39" s="29">
        <f t="shared" si="1"/>
        <v>4.0000000000000009</v>
      </c>
    </row>
    <row r="40" spans="1:9" hidden="1">
      <c r="A40" s="13"/>
      <c r="B40" s="13"/>
      <c r="C40" s="22" t="e">
        <f>POWER(C4-E40,2)+POWER(C6-F40,2)+POWER(C8-G40,2)</f>
        <v>#NUM!</v>
      </c>
      <c r="D40" s="27" t="s">
        <v>168</v>
      </c>
      <c r="E40" s="28">
        <v>1.6</v>
      </c>
      <c r="F40" s="28">
        <v>4.7</v>
      </c>
      <c r="G40" s="28">
        <v>3.4</v>
      </c>
      <c r="H40" s="25">
        <f t="shared" si="0"/>
        <v>1.7999999999999998</v>
      </c>
      <c r="I40" s="29">
        <f t="shared" si="1"/>
        <v>4.4000000000000004</v>
      </c>
    </row>
    <row r="41" spans="1:9" hidden="1">
      <c r="A41" s="13"/>
      <c r="B41" s="13"/>
      <c r="C41" s="22" t="e">
        <f>POWER(C4-E41,2)+POWER(C6-F41,2)+POWER(C8-G41,2)</f>
        <v>#NUM!</v>
      </c>
      <c r="D41" s="27" t="s">
        <v>169</v>
      </c>
      <c r="E41" s="28">
        <v>3.2</v>
      </c>
      <c r="F41" s="28">
        <v>7.1</v>
      </c>
      <c r="G41" s="28">
        <v>1.1000000000000001</v>
      </c>
      <c r="H41" s="25">
        <f t="shared" si="0"/>
        <v>-2.1</v>
      </c>
      <c r="I41" s="29">
        <f t="shared" si="1"/>
        <v>9.8999999999999986</v>
      </c>
    </row>
    <row r="42" spans="1:9" hidden="1">
      <c r="A42" s="13"/>
      <c r="B42" s="13"/>
      <c r="C42" s="22" t="e">
        <f>POWER(C4-E42,2)+POWER(C6-F42,2)+POWER(C8-G42,2)</f>
        <v>#NUM!</v>
      </c>
      <c r="D42" s="27" t="s">
        <v>170</v>
      </c>
      <c r="E42" s="28">
        <v>2.2999999999999998</v>
      </c>
      <c r="F42" s="28">
        <v>5.9</v>
      </c>
      <c r="G42" s="28">
        <v>2.1</v>
      </c>
      <c r="H42" s="25">
        <f t="shared" si="0"/>
        <v>-0.19999999999999973</v>
      </c>
      <c r="I42" s="29">
        <f t="shared" si="1"/>
        <v>7.4</v>
      </c>
    </row>
    <row r="43" spans="1:9" hidden="1">
      <c r="A43" s="13"/>
      <c r="B43" s="13"/>
      <c r="C43" s="22" t="e">
        <f>POWER(C4-E43,2)+POWER(C6-F43,2)+POWER(C8-G43,2)</f>
        <v>#NUM!</v>
      </c>
      <c r="D43" s="27" t="s">
        <v>171</v>
      </c>
      <c r="E43" s="28">
        <v>1.8</v>
      </c>
      <c r="F43" s="28">
        <v>5.6</v>
      </c>
      <c r="G43" s="28">
        <v>2.4</v>
      </c>
      <c r="H43" s="25">
        <f t="shared" si="0"/>
        <v>0.59999999999999987</v>
      </c>
      <c r="I43" s="29">
        <f t="shared" si="1"/>
        <v>6.9999999999999991</v>
      </c>
    </row>
    <row r="44" spans="1:9" hidden="1">
      <c r="A44" s="13"/>
      <c r="B44" s="13"/>
      <c r="C44" s="22" t="e">
        <f>POWER(C4-E44,2)+POWER(C6-F44,2)+POWER(C8-G44,2)</f>
        <v>#NUM!</v>
      </c>
      <c r="D44" s="27" t="s">
        <v>172</v>
      </c>
      <c r="E44" s="28">
        <v>1.6</v>
      </c>
      <c r="F44" s="28">
        <v>4.9000000000000004</v>
      </c>
      <c r="G44" s="28">
        <v>3.3</v>
      </c>
      <c r="H44" s="25">
        <f t="shared" si="0"/>
        <v>1.6999999999999997</v>
      </c>
      <c r="I44" s="29">
        <f t="shared" si="1"/>
        <v>4.9000000000000004</v>
      </c>
    </row>
    <row r="45" spans="1:9" hidden="1">
      <c r="A45" s="13"/>
      <c r="B45" s="13"/>
      <c r="C45" s="22" t="e">
        <f>POWER(C4-E45,2)+POWER(C6-F45,2)+POWER(C8-G45,2)</f>
        <v>#NUM!</v>
      </c>
      <c r="D45" s="27" t="s">
        <v>173</v>
      </c>
      <c r="E45" s="28">
        <v>1.7</v>
      </c>
      <c r="F45" s="28">
        <v>4.5999999999999996</v>
      </c>
      <c r="G45" s="28">
        <v>3.4</v>
      </c>
      <c r="H45" s="25">
        <f t="shared" si="0"/>
        <v>1.7</v>
      </c>
      <c r="I45" s="29">
        <f t="shared" si="1"/>
        <v>4.0999999999999996</v>
      </c>
    </row>
    <row r="46" spans="1:9" hidden="1">
      <c r="A46" s="13"/>
      <c r="B46" s="13"/>
      <c r="C46" s="22" t="e">
        <f>POWER(C4-E46,2)+POWER(C6-F46,2)+POWER(C8-G46,2)</f>
        <v>#NUM!</v>
      </c>
      <c r="D46" s="27" t="s">
        <v>174</v>
      </c>
      <c r="E46" s="28">
        <v>1.7</v>
      </c>
      <c r="F46" s="28">
        <v>5.2</v>
      </c>
      <c r="G46" s="28">
        <v>2.8</v>
      </c>
      <c r="H46" s="25">
        <f t="shared" si="0"/>
        <v>1.0999999999999999</v>
      </c>
      <c r="I46" s="29">
        <f t="shared" si="1"/>
        <v>5.9</v>
      </c>
    </row>
    <row r="47" spans="1:9" hidden="1">
      <c r="A47" s="13"/>
      <c r="B47" s="13"/>
      <c r="C47" s="22" t="e">
        <f>POWER(C4-E47,2)+POWER(C6-F47,2)+POWER(C8-G47,2)</f>
        <v>#NUM!</v>
      </c>
      <c r="D47" s="27" t="s">
        <v>175</v>
      </c>
      <c r="E47" s="28">
        <v>2.1</v>
      </c>
      <c r="F47" s="28">
        <v>4.5</v>
      </c>
      <c r="G47" s="28">
        <v>3.5</v>
      </c>
      <c r="H47" s="25">
        <f t="shared" si="0"/>
        <v>1.4</v>
      </c>
      <c r="I47" s="29">
        <f t="shared" si="1"/>
        <v>3.4000000000000004</v>
      </c>
    </row>
    <row r="48" spans="1:9" hidden="1">
      <c r="A48" s="13"/>
      <c r="B48" s="13"/>
      <c r="C48" s="22" t="e">
        <f>POWER(C4-E48,2)+POWER(C6-F48,2)+POWER(C8-G48,2)</f>
        <v>#NUM!</v>
      </c>
      <c r="D48" s="27" t="s">
        <v>176</v>
      </c>
      <c r="E48" s="28">
        <v>3.2</v>
      </c>
      <c r="F48" s="28">
        <v>4.67</v>
      </c>
      <c r="G48" s="28">
        <v>2.86</v>
      </c>
      <c r="H48" s="25">
        <f t="shared" si="0"/>
        <v>-0.3400000000000003</v>
      </c>
      <c r="I48" s="29">
        <f t="shared" si="1"/>
        <v>3.2799999999999994</v>
      </c>
    </row>
    <row r="49" spans="1:9" hidden="1">
      <c r="A49" s="13"/>
      <c r="B49" s="13"/>
      <c r="C49" s="22" t="e">
        <f>POWER(C4-E49,2)+POWER(C6-F49,2)+POWER(C8-G49,2)</f>
        <v>#NUM!</v>
      </c>
      <c r="D49" s="27" t="s">
        <v>177</v>
      </c>
      <c r="E49" s="28">
        <v>3.08</v>
      </c>
      <c r="F49" s="28">
        <v>4.29</v>
      </c>
      <c r="G49" s="28">
        <v>3.42</v>
      </c>
      <c r="H49" s="25">
        <f t="shared" si="0"/>
        <v>0.33999999999999986</v>
      </c>
      <c r="I49" s="29">
        <f t="shared" si="1"/>
        <v>2.08</v>
      </c>
    </row>
    <row r="50" spans="1:9" hidden="1">
      <c r="A50" s="35"/>
      <c r="B50" s="13"/>
      <c r="C50" s="22" t="e">
        <f>POWER(C4-E50,2)+POWER(C6-F50,2)+POWER(C8-G50,2)</f>
        <v>#NUM!</v>
      </c>
      <c r="D50" s="27" t="s">
        <v>178</v>
      </c>
      <c r="E50" s="28">
        <v>3.01</v>
      </c>
      <c r="F50" s="28">
        <v>4.34</v>
      </c>
      <c r="G50" s="28">
        <v>3.4</v>
      </c>
      <c r="H50" s="25">
        <f t="shared" si="0"/>
        <v>0.39000000000000012</v>
      </c>
      <c r="I50" s="29">
        <f t="shared" si="1"/>
        <v>2.2699999999999996</v>
      </c>
    </row>
    <row r="51" spans="1:9" hidden="1">
      <c r="A51" s="13"/>
      <c r="B51" s="13"/>
      <c r="C51" s="22" t="e">
        <f>POWER(C4-E51,2)+POWER(C6-F51,2)+POWER(C8-G51,2)</f>
        <v>#NUM!</v>
      </c>
      <c r="D51" s="27" t="s">
        <v>179</v>
      </c>
      <c r="E51" s="28">
        <v>3.02</v>
      </c>
      <c r="F51" s="28">
        <v>4.28</v>
      </c>
      <c r="G51" s="28">
        <v>3.39</v>
      </c>
      <c r="H51" s="25">
        <f t="shared" si="0"/>
        <v>0.37000000000000011</v>
      </c>
      <c r="I51" s="29">
        <f t="shared" si="1"/>
        <v>2.1500000000000004</v>
      </c>
    </row>
    <row r="52" spans="1:9" hidden="1">
      <c r="A52" s="13"/>
      <c r="B52" s="13"/>
      <c r="C52" s="22" t="e">
        <f>POWER(C4-E52,2)+POWER(C6-F52,2)+POWER(C8-G52,2)</f>
        <v>#NUM!</v>
      </c>
      <c r="D52" s="27" t="s">
        <v>180</v>
      </c>
      <c r="E52" s="28">
        <v>2.88</v>
      </c>
      <c r="F52" s="28">
        <v>4.13</v>
      </c>
      <c r="G52" s="28">
        <v>3.5</v>
      </c>
      <c r="H52" s="25">
        <f t="shared" si="0"/>
        <v>0.62000000000000011</v>
      </c>
      <c r="I52" s="29">
        <f t="shared" si="1"/>
        <v>1.88</v>
      </c>
    </row>
    <row r="53" spans="1:9" hidden="1">
      <c r="A53" s="13"/>
      <c r="B53" s="13"/>
      <c r="C53" s="22" t="e">
        <f>POWER(C4-E53,2)+POWER(C6-F53,2)+POWER(C8-G53,2)</f>
        <v>#NUM!</v>
      </c>
      <c r="D53" s="27" t="s">
        <v>181</v>
      </c>
      <c r="E53" s="28">
        <v>2.92</v>
      </c>
      <c r="F53" s="28">
        <v>3.89</v>
      </c>
      <c r="G53" s="28">
        <v>3.52</v>
      </c>
      <c r="H53" s="25">
        <f t="shared" si="0"/>
        <v>0.60000000000000009</v>
      </c>
      <c r="I53" s="29">
        <f t="shared" si="1"/>
        <v>1.3400000000000007</v>
      </c>
    </row>
    <row r="54" spans="1:9" hidden="1">
      <c r="A54" s="13"/>
      <c r="B54" s="13"/>
      <c r="C54" s="22" t="e">
        <f>POWER(C4-E54,2)+POWER(C6-F54,2)+POWER(C8-G54,2)</f>
        <v>#NUM!</v>
      </c>
      <c r="D54" s="27" t="s">
        <v>182</v>
      </c>
      <c r="E54" s="28">
        <v>2.4</v>
      </c>
      <c r="F54" s="28">
        <v>4.01</v>
      </c>
      <c r="G54" s="28">
        <v>3.58</v>
      </c>
      <c r="H54" s="25">
        <f t="shared" si="0"/>
        <v>1.1800000000000002</v>
      </c>
      <c r="I54" s="29">
        <f t="shared" si="1"/>
        <v>2.0399999999999991</v>
      </c>
    </row>
    <row r="55" spans="1:9" hidden="1">
      <c r="A55" s="13"/>
      <c r="B55" s="13"/>
      <c r="C55" s="22" t="e">
        <f>POWER(C4-E55,2)+POWER(C6-F55,2)+POWER(C8-G55,2)</f>
        <v>#NUM!</v>
      </c>
      <c r="D55" s="27" t="s">
        <v>183</v>
      </c>
      <c r="E55" s="28">
        <v>2</v>
      </c>
      <c r="F55" s="28">
        <v>4.2</v>
      </c>
      <c r="G55" s="28">
        <v>3.5</v>
      </c>
      <c r="H55" s="25">
        <f t="shared" si="0"/>
        <v>1.5</v>
      </c>
      <c r="I55" s="29">
        <f t="shared" si="1"/>
        <v>2.9000000000000004</v>
      </c>
    </row>
    <row r="56" spans="1:9" hidden="1">
      <c r="A56" s="13"/>
      <c r="B56" s="13"/>
      <c r="C56" s="22" t="e">
        <f>POWER(C4-E56,2)+POWER(C6-F56,2)+POWER(C8-G56,2)</f>
        <v>#NUM!</v>
      </c>
      <c r="D56" s="27" t="s">
        <v>184</v>
      </c>
      <c r="E56" s="28">
        <v>2.6</v>
      </c>
      <c r="F56" s="28">
        <v>3.97</v>
      </c>
      <c r="G56" s="28">
        <v>3.53</v>
      </c>
      <c r="H56" s="25">
        <f t="shared" si="0"/>
        <v>0.92999999999999972</v>
      </c>
      <c r="I56" s="29">
        <f t="shared" si="1"/>
        <v>1.8100000000000005</v>
      </c>
    </row>
    <row r="57" spans="1:9" hidden="1">
      <c r="A57" s="13"/>
      <c r="B57" s="13"/>
      <c r="C57" s="22" t="e">
        <f>POWER(C4-E57,2)+POWER(C6-F57,2)+POWER(C8-G57,2)</f>
        <v>#NUM!</v>
      </c>
      <c r="D57" s="27" t="s">
        <v>185</v>
      </c>
      <c r="E57" s="28">
        <v>3.1</v>
      </c>
      <c r="F57" s="28">
        <v>4.5999999999999996</v>
      </c>
      <c r="G57" s="28">
        <v>2.8</v>
      </c>
      <c r="H57" s="25">
        <f t="shared" si="0"/>
        <v>-0.30000000000000027</v>
      </c>
      <c r="I57" s="29">
        <f t="shared" si="1"/>
        <v>3.2999999999999989</v>
      </c>
    </row>
    <row r="58" spans="1:9" hidden="1">
      <c r="A58" s="13"/>
      <c r="B58" s="13"/>
      <c r="C58" s="22" t="e">
        <f>POWER(C4-E58,2)+POWER(C6-F58,2)+POWER(C8-G58,2)</f>
        <v>#NUM!</v>
      </c>
      <c r="D58" s="27" t="s">
        <v>186</v>
      </c>
      <c r="E58" s="28">
        <v>2</v>
      </c>
      <c r="F58" s="28">
        <v>4.3</v>
      </c>
      <c r="G58" s="28">
        <v>3.5</v>
      </c>
      <c r="H58" s="25">
        <f t="shared" si="0"/>
        <v>1.5</v>
      </c>
      <c r="I58" s="29">
        <f t="shared" si="1"/>
        <v>3.0999999999999996</v>
      </c>
    </row>
    <row r="59" spans="1:9" hidden="1">
      <c r="A59" s="13"/>
      <c r="B59" s="13"/>
      <c r="C59" s="22" t="e">
        <f>POWER(C4-E59,2)+POWER(C6-F59,2)+POWER(C8-G59,2)</f>
        <v>#NUM!</v>
      </c>
      <c r="D59" s="27" t="s">
        <v>187</v>
      </c>
      <c r="E59" s="28">
        <v>2.1</v>
      </c>
      <c r="F59" s="28">
        <v>4.5</v>
      </c>
      <c r="G59" s="28">
        <v>3.5</v>
      </c>
      <c r="H59" s="25">
        <f t="shared" si="0"/>
        <v>1.4</v>
      </c>
      <c r="I59" s="29">
        <f t="shared" si="1"/>
        <v>3.4000000000000004</v>
      </c>
    </row>
    <row r="60" spans="1:9" hidden="1">
      <c r="A60" s="13"/>
      <c r="B60" s="13"/>
      <c r="C60" s="22" t="e">
        <f>POWER(C4-E60,2)+POWER(C6-F60,2)+POWER(C8-G60,2)</f>
        <v>#NUM!</v>
      </c>
      <c r="D60" s="27" t="s">
        <v>188</v>
      </c>
      <c r="E60" s="28">
        <v>2.9</v>
      </c>
      <c r="F60" s="28">
        <v>4.5999999999999996</v>
      </c>
      <c r="G60" s="28">
        <v>4.0999999999999996</v>
      </c>
      <c r="H60" s="25">
        <f t="shared" si="0"/>
        <v>1.1999999999999997</v>
      </c>
      <c r="I60" s="29">
        <f t="shared" si="1"/>
        <v>2.1999999999999993</v>
      </c>
    </row>
    <row r="61" spans="1:9" hidden="1">
      <c r="A61" s="13"/>
      <c r="B61" s="13"/>
      <c r="C61" s="22" t="e">
        <f>POWER(C4-E61,2)+POWER(C6-F61,2)+POWER(C8-G61,2)</f>
        <v>#NUM!</v>
      </c>
      <c r="D61" s="27" t="s">
        <v>189</v>
      </c>
      <c r="E61" s="28">
        <v>2.2000000000000002</v>
      </c>
      <c r="F61" s="28">
        <v>4.4000000000000004</v>
      </c>
      <c r="G61" s="28">
        <v>3.2</v>
      </c>
      <c r="H61" s="25">
        <f t="shared" si="0"/>
        <v>1</v>
      </c>
      <c r="I61" s="29">
        <f t="shared" si="1"/>
        <v>3.4000000000000004</v>
      </c>
    </row>
    <row r="62" spans="1:9" hidden="1">
      <c r="A62" s="13"/>
      <c r="B62" s="13"/>
      <c r="C62" s="22" t="e">
        <f>POWER(C4-E62,2)+POWER(C6-F62,2)+POWER(C8-G62,2)</f>
        <v>#NUM!</v>
      </c>
      <c r="D62" s="27" t="s">
        <v>190</v>
      </c>
      <c r="E62" s="28">
        <v>2.1</v>
      </c>
      <c r="F62" s="28">
        <v>5.5</v>
      </c>
      <c r="G62" s="28">
        <v>2.4</v>
      </c>
      <c r="H62" s="25">
        <f t="shared" si="0"/>
        <v>0.29999999999999982</v>
      </c>
      <c r="I62" s="29">
        <f t="shared" si="1"/>
        <v>6.5</v>
      </c>
    </row>
    <row r="63" spans="1:9" hidden="1">
      <c r="A63" s="13"/>
      <c r="B63" s="13"/>
      <c r="C63" s="22" t="e">
        <f>POWER(C4-E63,2)+POWER(C6-F63,2)+POWER(C8-G63,2)</f>
        <v>#NUM!</v>
      </c>
      <c r="D63" s="27" t="s">
        <v>191</v>
      </c>
      <c r="E63" s="28">
        <v>1.6</v>
      </c>
      <c r="F63" s="28">
        <v>4.9000000000000004</v>
      </c>
      <c r="G63" s="28">
        <v>3</v>
      </c>
      <c r="H63" s="25">
        <f t="shared" si="0"/>
        <v>1.4</v>
      </c>
      <c r="I63" s="29">
        <f t="shared" si="1"/>
        <v>5.2000000000000011</v>
      </c>
    </row>
    <row r="64" spans="1:9" hidden="1">
      <c r="A64" s="13"/>
      <c r="B64" s="13"/>
      <c r="C64" s="22" t="e">
        <f>POWER(C4-E64,2)+POWER(C6-F64,2)+POWER(C8-G64,2)</f>
        <v>#NUM!</v>
      </c>
      <c r="D64" s="27" t="s">
        <v>192</v>
      </c>
      <c r="E64" s="28">
        <v>2</v>
      </c>
      <c r="F64" s="28">
        <v>5.5</v>
      </c>
      <c r="G64" s="28">
        <v>2.5</v>
      </c>
      <c r="H64" s="25">
        <f t="shared" si="0"/>
        <v>0.5</v>
      </c>
      <c r="I64" s="29">
        <f t="shared" si="1"/>
        <v>6.5</v>
      </c>
    </row>
    <row r="65" spans="1:9" hidden="1">
      <c r="A65" s="13"/>
      <c r="B65" s="13"/>
      <c r="C65" s="22" t="e">
        <f>POWER(C4-E65,2)+POWER(C6-F65,2)+POWER(C8-G65,2)</f>
        <v>#NUM!</v>
      </c>
      <c r="D65" s="27" t="s">
        <v>193</v>
      </c>
      <c r="E65" s="28">
        <v>2.6</v>
      </c>
      <c r="F65" s="28">
        <v>6.1</v>
      </c>
      <c r="G65" s="28">
        <v>1.8</v>
      </c>
      <c r="H65" s="25">
        <f t="shared" si="0"/>
        <v>-0.8</v>
      </c>
      <c r="I65" s="29">
        <f t="shared" si="1"/>
        <v>7.7999999999999989</v>
      </c>
    </row>
    <row r="66" spans="1:9" hidden="1">
      <c r="A66" s="13"/>
      <c r="B66" s="13"/>
      <c r="C66" s="22" t="e">
        <f>POWER(C4-E66,2)+POWER(C6-F66,2)+POWER(C8-G66,2)</f>
        <v>#NUM!</v>
      </c>
      <c r="D66" s="27" t="s">
        <v>194</v>
      </c>
      <c r="E66" s="28">
        <v>1.9</v>
      </c>
      <c r="F66" s="28">
        <v>5.3</v>
      </c>
      <c r="G66" s="28">
        <v>2.6</v>
      </c>
      <c r="H66" s="25">
        <f t="shared" si="0"/>
        <v>0.70000000000000018</v>
      </c>
      <c r="I66" s="29">
        <f t="shared" si="1"/>
        <v>6.1</v>
      </c>
    </row>
    <row r="67" spans="1:9" hidden="1">
      <c r="A67" s="13"/>
      <c r="B67" s="13"/>
      <c r="C67" s="22" t="e">
        <f>POWER(C4-E67,2)+POWER(C6-F67,2)+POWER(C8-G67,2)</f>
        <v>#NUM!</v>
      </c>
      <c r="D67" s="27" t="s">
        <v>195</v>
      </c>
      <c r="E67" s="28">
        <v>1.7</v>
      </c>
      <c r="F67" s="28">
        <v>5.0999999999999996</v>
      </c>
      <c r="G67" s="28">
        <v>2.7</v>
      </c>
      <c r="H67" s="25">
        <f t="shared" si="0"/>
        <v>1.0000000000000002</v>
      </c>
      <c r="I67" s="29">
        <f t="shared" si="1"/>
        <v>5.7999999999999989</v>
      </c>
    </row>
    <row r="68" spans="1:9" hidden="1">
      <c r="A68" s="13"/>
      <c r="B68" s="13"/>
      <c r="C68" s="22" t="e">
        <f>POWER(C4-E68,2)+POWER(C6-F68,2)+POWER(C8-G68,2)</f>
        <v>#NUM!</v>
      </c>
      <c r="D68" s="27" t="s">
        <v>196</v>
      </c>
      <c r="E68" s="28">
        <v>1.8</v>
      </c>
      <c r="F68" s="28">
        <v>4.4000000000000004</v>
      </c>
      <c r="G68" s="28">
        <v>3.7</v>
      </c>
      <c r="H68" s="25">
        <f t="shared" si="0"/>
        <v>1.9000000000000001</v>
      </c>
      <c r="I68" s="29">
        <f t="shared" si="1"/>
        <v>3.3000000000000007</v>
      </c>
    </row>
    <row r="69" spans="1:9" hidden="1">
      <c r="A69" s="13"/>
      <c r="B69" s="13"/>
      <c r="C69" s="22" t="e">
        <f>POWER(C4-E69,2)+POWER(C6-F69,2)+POWER(C8-G69,2)</f>
        <v>#NUM!</v>
      </c>
      <c r="D69" s="27" t="s">
        <v>197</v>
      </c>
      <c r="E69" s="28">
        <v>1.8</v>
      </c>
      <c r="F69" s="28">
        <v>5.4</v>
      </c>
      <c r="G69" s="28">
        <v>2.6</v>
      </c>
      <c r="H69" s="25">
        <f t="shared" si="0"/>
        <v>0.8</v>
      </c>
      <c r="I69" s="29">
        <f t="shared" si="1"/>
        <v>6.4</v>
      </c>
    </row>
    <row r="70" spans="1:9" hidden="1">
      <c r="A70" s="13"/>
      <c r="B70" s="13"/>
      <c r="C70" s="22" t="e">
        <f>POWER(C4-E70,2)+POWER(C6-F70,2)+POWER(C8-G70,2)</f>
        <v>#NUM!</v>
      </c>
      <c r="D70" s="27" t="s">
        <v>198</v>
      </c>
      <c r="E70" s="28">
        <v>1.8</v>
      </c>
      <c r="F70" s="28">
        <v>5</v>
      </c>
      <c r="G70" s="28">
        <v>2.8</v>
      </c>
      <c r="H70" s="25">
        <f t="shared" si="0"/>
        <v>0.99999999999999978</v>
      </c>
      <c r="I70" s="29">
        <f t="shared" si="1"/>
        <v>5.4</v>
      </c>
    </row>
    <row r="71" spans="1:9" hidden="1">
      <c r="A71" s="13"/>
      <c r="B71" s="13"/>
      <c r="C71" s="22" t="e">
        <f>POWER(C4-E71,2)+POWER(C6-F71,2)+POWER(C8-G71,2)</f>
        <v>#NUM!</v>
      </c>
      <c r="D71" s="27" t="s">
        <v>199</v>
      </c>
      <c r="E71" s="28">
        <v>1.8</v>
      </c>
      <c r="F71" s="28">
        <v>4.9000000000000004</v>
      </c>
      <c r="G71" s="28">
        <v>2.7</v>
      </c>
      <c r="H71" s="25">
        <f t="shared" si="0"/>
        <v>0.90000000000000013</v>
      </c>
      <c r="I71" s="29">
        <f t="shared" si="1"/>
        <v>5.3000000000000007</v>
      </c>
    </row>
    <row r="72" spans="1:9" hidden="1">
      <c r="A72" s="13"/>
      <c r="B72" s="13"/>
      <c r="C72" s="22" t="e">
        <f>POWER(C4-E72,2)+POWER(C6-F72,2)+POWER(C8-G72,2)</f>
        <v>#NUM!</v>
      </c>
      <c r="D72" s="27" t="s">
        <v>200</v>
      </c>
      <c r="E72" s="28">
        <v>1.7</v>
      </c>
      <c r="F72" s="28">
        <v>4.8</v>
      </c>
      <c r="G72" s="28">
        <v>3.1</v>
      </c>
      <c r="H72" s="25">
        <f t="shared" si="0"/>
        <v>1.4000000000000001</v>
      </c>
      <c r="I72" s="29">
        <f t="shared" si="1"/>
        <v>4.8</v>
      </c>
    </row>
    <row r="73" spans="1:9" hidden="1">
      <c r="A73" s="13"/>
      <c r="B73" s="13"/>
      <c r="C73" s="22" t="e">
        <f>POWER(C4-E73,2)+POWER(C6-F73,2)+POWER(C8-G73,2)</f>
        <v>#NUM!</v>
      </c>
      <c r="D73" s="27" t="s">
        <v>201</v>
      </c>
      <c r="E73" s="28">
        <v>2.8</v>
      </c>
      <c r="F73" s="28">
        <v>4.2</v>
      </c>
      <c r="G73" s="28">
        <v>2.9</v>
      </c>
      <c r="H73" s="25">
        <f t="shared" si="0"/>
        <v>0.10000000000000009</v>
      </c>
      <c r="I73" s="29">
        <f t="shared" si="1"/>
        <v>2.7000000000000011</v>
      </c>
    </row>
    <row r="74" spans="1:9" hidden="1">
      <c r="A74" s="13"/>
      <c r="B74" s="13"/>
      <c r="C74" s="22" t="e">
        <f>POWER(C4-E74,2)+POWER(C6-F74,2)+POWER(C8-G74,2)</f>
        <v>#NUM!</v>
      </c>
      <c r="D74" s="27" t="s">
        <v>202</v>
      </c>
      <c r="E74" s="28">
        <v>2.8</v>
      </c>
      <c r="F74" s="28">
        <v>4.2</v>
      </c>
      <c r="G74" s="28">
        <v>2.9</v>
      </c>
      <c r="H74" s="25">
        <f t="shared" si="0"/>
        <v>0.10000000000000009</v>
      </c>
      <c r="I74" s="29">
        <f t="shared" si="1"/>
        <v>2.7000000000000011</v>
      </c>
    </row>
    <row r="75" spans="1:9" hidden="1">
      <c r="A75" s="13"/>
      <c r="B75" s="13"/>
      <c r="C75" s="22" t="e">
        <f>POWER(C4-E75,2)+POWER(C6-F75,2)+POWER(C8-G75,2)</f>
        <v>#NUM!</v>
      </c>
      <c r="D75" s="27" t="s">
        <v>203</v>
      </c>
      <c r="E75" s="28">
        <v>2.5</v>
      </c>
      <c r="F75" s="28">
        <v>4.8</v>
      </c>
      <c r="G75" s="28">
        <v>2.2999999999999998</v>
      </c>
      <c r="H75" s="25">
        <f t="shared" si="0"/>
        <v>-0.20000000000000018</v>
      </c>
      <c r="I75" s="29">
        <f t="shared" si="1"/>
        <v>4.8</v>
      </c>
    </row>
    <row r="76" spans="1:9" hidden="1">
      <c r="A76" s="13"/>
      <c r="B76" s="13"/>
      <c r="C76" s="22" t="e">
        <f>POWER(C4-E76,2)+POWER(C6-F76,2)+POWER(C8-G76,2)</f>
        <v>#NUM!</v>
      </c>
      <c r="D76" s="27" t="s">
        <v>204</v>
      </c>
      <c r="E76" s="28">
        <v>2.1</v>
      </c>
      <c r="F76" s="28">
        <v>5</v>
      </c>
      <c r="G76" s="28">
        <v>2.6</v>
      </c>
      <c r="H76" s="25">
        <f t="shared" si="0"/>
        <v>0.5</v>
      </c>
      <c r="I76" s="29">
        <f t="shared" si="1"/>
        <v>5.3</v>
      </c>
    </row>
    <row r="77" spans="1:9" hidden="1">
      <c r="A77" s="13"/>
      <c r="B77" s="13"/>
      <c r="C77" s="22" t="e">
        <f>POWER(C4-E77,2)+POWER(C6-F77,2)+POWER(C8-G77,2)</f>
        <v>#NUM!</v>
      </c>
      <c r="D77" s="27" t="s">
        <v>205</v>
      </c>
      <c r="E77" s="28">
        <v>2.7</v>
      </c>
      <c r="F77" s="28">
        <v>5.2</v>
      </c>
      <c r="G77" s="28">
        <v>2</v>
      </c>
      <c r="H77" s="25">
        <f t="shared" ref="H77:H98" si="2">G77-E77</f>
        <v>-0.70000000000000018</v>
      </c>
      <c r="I77" s="29">
        <f t="shared" ref="I77:I98" si="3">2*F77-(G77+E77)</f>
        <v>5.7</v>
      </c>
    </row>
    <row r="78" spans="1:9" hidden="1">
      <c r="A78" s="13"/>
      <c r="B78" s="13"/>
      <c r="C78" s="22" t="e">
        <f>POWER(C4-E78,2)+POWER(C6-F78,2)+POWER(C8-G78,2)</f>
        <v>#NUM!</v>
      </c>
      <c r="D78" s="27" t="s">
        <v>206</v>
      </c>
      <c r="E78" s="28">
        <v>2.1</v>
      </c>
      <c r="F78" s="28">
        <v>5.7</v>
      </c>
      <c r="G78" s="28">
        <v>2.5</v>
      </c>
      <c r="H78" s="25">
        <f t="shared" si="2"/>
        <v>0.39999999999999991</v>
      </c>
      <c r="I78" s="29">
        <f t="shared" si="3"/>
        <v>6.8000000000000007</v>
      </c>
    </row>
    <row r="79" spans="1:9" hidden="1">
      <c r="A79" s="9"/>
      <c r="B79" s="9"/>
      <c r="C79" s="22" t="e">
        <f>POWER(C4-E79,2)+POWER(C6-F79,2)+POWER(C8-G79,2)</f>
        <v>#NUM!</v>
      </c>
      <c r="D79" s="39" t="s">
        <v>395</v>
      </c>
      <c r="E79" s="40">
        <v>2.6</v>
      </c>
      <c r="F79" s="40">
        <v>5.5</v>
      </c>
      <c r="G79" s="40">
        <v>1.9</v>
      </c>
      <c r="H79" s="42">
        <f t="shared" si="2"/>
        <v>-0.70000000000000018</v>
      </c>
      <c r="I79" s="42">
        <f t="shared" si="3"/>
        <v>6.5</v>
      </c>
    </row>
    <row r="80" spans="1:9" hidden="1">
      <c r="A80" s="9"/>
      <c r="B80" s="9"/>
      <c r="C80" s="22" t="e">
        <f>POWER(C4-E80,2)+POWER(C6-F80,2)+POWER(C8-G80,2)</f>
        <v>#NUM!</v>
      </c>
      <c r="D80" s="39" t="s">
        <v>396</v>
      </c>
      <c r="E80" s="40">
        <v>1.9</v>
      </c>
      <c r="F80" s="40">
        <v>5.3</v>
      </c>
      <c r="G80" s="40">
        <v>2.2999999999999998</v>
      </c>
      <c r="H80" s="42">
        <f t="shared" si="2"/>
        <v>0.39999999999999991</v>
      </c>
      <c r="I80" s="42">
        <f t="shared" si="3"/>
        <v>6.4</v>
      </c>
    </row>
    <row r="81" spans="1:9" hidden="1">
      <c r="A81" s="9"/>
      <c r="B81" s="9"/>
      <c r="C81" s="22" t="e">
        <f>POWER(C4-E81,2)+POWER(C6-F81,2)+POWER(C8-G81,2)</f>
        <v>#NUM!</v>
      </c>
      <c r="D81" s="39" t="s">
        <v>397</v>
      </c>
      <c r="E81" s="40">
        <v>2</v>
      </c>
      <c r="F81" s="40">
        <v>5.3</v>
      </c>
      <c r="G81" s="40">
        <v>2.1</v>
      </c>
      <c r="H81" s="42">
        <f t="shared" si="2"/>
        <v>0.10000000000000009</v>
      </c>
      <c r="I81" s="42">
        <f t="shared" si="3"/>
        <v>6.5</v>
      </c>
    </row>
    <row r="82" spans="1:9" hidden="1">
      <c r="A82" s="9"/>
      <c r="B82" s="9"/>
      <c r="C82" s="22" t="e">
        <f>POWER(C4-E82,2)+POWER(C6-F82,2)+POWER(C8-G82,2)</f>
        <v>#NUM!</v>
      </c>
      <c r="D82" s="39" t="s">
        <v>398</v>
      </c>
      <c r="E82" s="40">
        <v>2</v>
      </c>
      <c r="F82" s="40">
        <v>5</v>
      </c>
      <c r="G82" s="40">
        <v>2.2999999999999998</v>
      </c>
      <c r="H82" s="42">
        <f t="shared" si="2"/>
        <v>0.29999999999999982</v>
      </c>
      <c r="I82" s="42">
        <f t="shared" si="3"/>
        <v>5.7</v>
      </c>
    </row>
    <row r="83" spans="1:9" hidden="1">
      <c r="A83" s="9"/>
      <c r="B83" s="9"/>
      <c r="C83" s="22" t="e">
        <f>POWER(C4-E83,2)+POWER(C6-F83,2)+POWER(C8-G83,2)</f>
        <v>#NUM!</v>
      </c>
      <c r="D83" s="39" t="s">
        <v>399</v>
      </c>
      <c r="E83" s="40">
        <v>2.2999999999999998</v>
      </c>
      <c r="F83" s="40">
        <v>5.2</v>
      </c>
      <c r="G83" s="40">
        <v>2.1</v>
      </c>
      <c r="H83" s="42">
        <f t="shared" si="2"/>
        <v>-0.19999999999999973</v>
      </c>
      <c r="I83" s="42">
        <f t="shared" si="3"/>
        <v>6</v>
      </c>
    </row>
    <row r="84" spans="1:9" hidden="1">
      <c r="A84" s="9"/>
      <c r="B84" s="9"/>
      <c r="C84" s="22" t="e">
        <f>POWER(C4-E84,2)+POWER(C6-F84,2)+POWER(C8-G84,2)</f>
        <v>#NUM!</v>
      </c>
      <c r="D84" s="39" t="s">
        <v>400</v>
      </c>
      <c r="E84" s="40">
        <v>2.2000000000000002</v>
      </c>
      <c r="F84" s="40">
        <v>5.5</v>
      </c>
      <c r="G84" s="40">
        <v>1.8</v>
      </c>
      <c r="H84" s="42">
        <f t="shared" si="2"/>
        <v>-0.40000000000000013</v>
      </c>
      <c r="I84" s="42">
        <f t="shared" si="3"/>
        <v>7</v>
      </c>
    </row>
    <row r="85" spans="1:9" hidden="1">
      <c r="A85" s="9"/>
      <c r="B85" s="9"/>
      <c r="C85" s="22" t="e">
        <f>POWER(C4-E85,2)+POWER(C6-F85,2)+POWER(C8-G85,2)</f>
        <v>#NUM!</v>
      </c>
      <c r="D85" s="39" t="s">
        <v>402</v>
      </c>
      <c r="E85" s="40">
        <v>1.8</v>
      </c>
      <c r="F85" s="40">
        <v>5.3</v>
      </c>
      <c r="G85" s="40">
        <v>2.2000000000000002</v>
      </c>
      <c r="H85" s="42">
        <f t="shared" si="2"/>
        <v>0.40000000000000013</v>
      </c>
      <c r="I85" s="42">
        <f t="shared" si="3"/>
        <v>6.6</v>
      </c>
    </row>
    <row r="86" spans="1:9" hidden="1">
      <c r="A86" s="9"/>
      <c r="B86" s="9"/>
      <c r="C86" s="22" t="e">
        <f>POWER(C4-E86,2)+POWER(C6-F86,2)+POWER(C8-G86,2)</f>
        <v>#NUM!</v>
      </c>
      <c r="D86" s="39" t="s">
        <v>401</v>
      </c>
      <c r="E86" s="40">
        <v>2.1</v>
      </c>
      <c r="F86" s="40">
        <v>5.3</v>
      </c>
      <c r="G86" s="40">
        <v>2.1</v>
      </c>
      <c r="H86" s="42">
        <f t="shared" si="2"/>
        <v>0</v>
      </c>
      <c r="I86" s="42">
        <f t="shared" si="3"/>
        <v>6.3999999999999995</v>
      </c>
    </row>
    <row r="87" spans="1:9" hidden="1">
      <c r="A87" s="9"/>
      <c r="B87" s="9"/>
      <c r="C87" s="22" t="e">
        <f>POWER(C4-E87,2)+POWER(C6-F87,2)+POWER(C8-G87,2)</f>
        <v>#NUM!</v>
      </c>
      <c r="D87" s="39" t="s">
        <v>403</v>
      </c>
      <c r="E87" s="40">
        <v>2</v>
      </c>
      <c r="F87" s="40">
        <v>5.4</v>
      </c>
      <c r="G87" s="40">
        <v>2</v>
      </c>
      <c r="H87" s="42">
        <f t="shared" si="2"/>
        <v>0</v>
      </c>
      <c r="I87" s="42">
        <f t="shared" si="3"/>
        <v>6.8000000000000007</v>
      </c>
    </row>
    <row r="88" spans="1:9" hidden="1">
      <c r="A88" s="9"/>
      <c r="B88" s="9"/>
      <c r="C88" s="22" t="e">
        <f>POWER(C4-E88,2)+POWER(C6-F88,2)+POWER(C8-G88,2)</f>
        <v>#NUM!</v>
      </c>
      <c r="D88" s="39" t="s">
        <v>404</v>
      </c>
      <c r="E88" s="40">
        <v>2.2000000000000002</v>
      </c>
      <c r="F88" s="40">
        <v>5.3</v>
      </c>
      <c r="G88" s="40">
        <v>1.9</v>
      </c>
      <c r="H88" s="42">
        <f t="shared" si="2"/>
        <v>-0.30000000000000027</v>
      </c>
      <c r="I88" s="42">
        <f t="shared" si="3"/>
        <v>6.5</v>
      </c>
    </row>
    <row r="89" spans="1:9" hidden="1">
      <c r="A89" s="9"/>
      <c r="B89" s="9"/>
      <c r="C89" s="22" t="e">
        <f>POWER(C4-E89,2)+POWER(C6-F89,2)+POWER(C8-G89,2)</f>
        <v>#NUM!</v>
      </c>
      <c r="D89" s="39" t="s">
        <v>405</v>
      </c>
      <c r="E89" s="40">
        <v>1.8</v>
      </c>
      <c r="F89" s="40">
        <v>5.4</v>
      </c>
      <c r="G89" s="40">
        <v>2.1</v>
      </c>
      <c r="H89" s="42">
        <f t="shared" si="2"/>
        <v>0.30000000000000004</v>
      </c>
      <c r="I89" s="42">
        <f t="shared" si="3"/>
        <v>6.9</v>
      </c>
    </row>
    <row r="90" spans="1:9" hidden="1">
      <c r="A90" s="9"/>
      <c r="B90" s="9"/>
      <c r="C90" s="22" t="e">
        <f>POWER(C4-E90,2)+POWER(C6-F90,2)+POWER(C8-G90,2)</f>
        <v>#NUM!</v>
      </c>
      <c r="D90" s="39" t="s">
        <v>406</v>
      </c>
      <c r="E90" s="40">
        <v>2.1</v>
      </c>
      <c r="F90" s="40">
        <v>5.3</v>
      </c>
      <c r="G90" s="40">
        <v>2.2999999999999998</v>
      </c>
      <c r="H90" s="42">
        <f t="shared" si="2"/>
        <v>0.19999999999999973</v>
      </c>
      <c r="I90" s="42">
        <f t="shared" si="3"/>
        <v>6.1999999999999993</v>
      </c>
    </row>
    <row r="91" spans="1:9" hidden="1">
      <c r="A91" s="9"/>
      <c r="B91" s="9"/>
      <c r="C91" s="22" t="e">
        <f>POWER(C4-E91,2)+POWER(C6-F91,2)+POWER(C8-G91,2)</f>
        <v>#NUM!</v>
      </c>
      <c r="D91" s="39" t="s">
        <v>407</v>
      </c>
      <c r="E91" s="40">
        <v>2</v>
      </c>
      <c r="F91" s="40">
        <v>5.2</v>
      </c>
      <c r="G91" s="40">
        <v>2.2000000000000002</v>
      </c>
      <c r="H91" s="42">
        <f t="shared" si="2"/>
        <v>0.20000000000000018</v>
      </c>
      <c r="I91" s="42">
        <f t="shared" si="3"/>
        <v>6.2</v>
      </c>
    </row>
    <row r="92" spans="1:9" hidden="1">
      <c r="A92" s="9"/>
      <c r="B92" s="9"/>
      <c r="C92" s="22" t="e">
        <f>POWER(C4-E92,2)+POWER(C6-F92,2)+POWER(C8-G92,2)</f>
        <v>#NUM!</v>
      </c>
      <c r="D92" s="39" t="s">
        <v>408</v>
      </c>
      <c r="E92" s="40">
        <v>2</v>
      </c>
      <c r="F92" s="40">
        <v>5</v>
      </c>
      <c r="G92" s="40">
        <v>2.5</v>
      </c>
      <c r="H92" s="42">
        <f t="shared" si="2"/>
        <v>0.5</v>
      </c>
      <c r="I92" s="42">
        <f t="shared" si="3"/>
        <v>5.5</v>
      </c>
    </row>
    <row r="93" spans="1:9" hidden="1">
      <c r="A93" s="9"/>
      <c r="B93" s="9"/>
      <c r="C93" s="22" t="e">
        <f>POWER(C4-E93,2)+POWER(C6-F93,2)+POWER(C8-G93,2)</f>
        <v>#NUM!</v>
      </c>
      <c r="D93" s="39" t="s">
        <v>409</v>
      </c>
      <c r="E93" s="40">
        <v>2.2999999999999998</v>
      </c>
      <c r="F93" s="40">
        <v>4.9000000000000004</v>
      </c>
      <c r="G93" s="40">
        <v>2.1</v>
      </c>
      <c r="H93" s="42">
        <f t="shared" si="2"/>
        <v>-0.19999999999999973</v>
      </c>
      <c r="I93" s="42">
        <f t="shared" si="3"/>
        <v>5.4</v>
      </c>
    </row>
    <row r="94" spans="1:9" hidden="1">
      <c r="A94" s="9"/>
      <c r="B94" s="9"/>
      <c r="C94" s="22" t="e">
        <f>POWER(C4-E94,2)+POWER(C6-F94,2)+POWER(C8-G94,2)</f>
        <v>#NUM!</v>
      </c>
      <c r="D94" s="39" t="s">
        <v>410</v>
      </c>
      <c r="E94" s="40">
        <v>2.8</v>
      </c>
      <c r="F94" s="40">
        <v>4.2</v>
      </c>
      <c r="G94" s="40">
        <v>2.1</v>
      </c>
      <c r="H94" s="42">
        <f t="shared" si="2"/>
        <v>-0.69999999999999973</v>
      </c>
      <c r="I94" s="42">
        <f t="shared" si="3"/>
        <v>3.5</v>
      </c>
    </row>
    <row r="95" spans="1:9" hidden="1">
      <c r="A95" s="9"/>
      <c r="B95" s="9"/>
      <c r="C95" s="22" t="e">
        <f>POWER(C4-E95,2)+POWER(C6-F95,2)+POWER(C8-G95,2)</f>
        <v>#NUM!</v>
      </c>
      <c r="D95" s="39" t="s">
        <v>411</v>
      </c>
      <c r="E95" s="40">
        <v>2.2000000000000002</v>
      </c>
      <c r="F95" s="40">
        <v>4.8</v>
      </c>
      <c r="G95" s="40">
        <v>2.2999999999999998</v>
      </c>
      <c r="H95" s="42">
        <f t="shared" si="2"/>
        <v>9.9999999999999645E-2</v>
      </c>
      <c r="I95" s="42">
        <f t="shared" si="3"/>
        <v>5.0999999999999996</v>
      </c>
    </row>
    <row r="96" spans="1:9" hidden="1">
      <c r="A96" s="9"/>
      <c r="B96" s="9"/>
      <c r="C96" s="22" t="e">
        <f>POWER(C4-E96,2)+POWER(C6-F96,2)+POWER(C8-G96,2)</f>
        <v>#NUM!</v>
      </c>
      <c r="D96" s="39" t="s">
        <v>412</v>
      </c>
      <c r="E96" s="40">
        <v>2.1</v>
      </c>
      <c r="F96" s="40">
        <v>4</v>
      </c>
      <c r="G96" s="40">
        <v>2.7</v>
      </c>
      <c r="H96" s="42">
        <f t="shared" si="2"/>
        <v>0.60000000000000009</v>
      </c>
      <c r="I96" s="42">
        <f t="shared" si="3"/>
        <v>3.1999999999999993</v>
      </c>
    </row>
    <row r="97" spans="1:9" hidden="1">
      <c r="A97" s="9"/>
      <c r="B97" s="9"/>
      <c r="C97" s="22" t="e">
        <f>POWER(C4-E97,2)+POWER(C6-F97,2)+POWER(C8-G97,2)</f>
        <v>#NUM!</v>
      </c>
      <c r="D97" s="39" t="s">
        <v>413</v>
      </c>
      <c r="E97" s="40">
        <v>2.1</v>
      </c>
      <c r="F97" s="40">
        <v>4.4000000000000004</v>
      </c>
      <c r="G97" s="40">
        <v>2</v>
      </c>
      <c r="H97" s="42">
        <f t="shared" si="2"/>
        <v>-0.10000000000000009</v>
      </c>
      <c r="I97" s="42">
        <f t="shared" si="3"/>
        <v>4.7000000000000011</v>
      </c>
    </row>
    <row r="98" spans="1:9" hidden="1">
      <c r="A98" s="9"/>
      <c r="B98" s="9"/>
      <c r="C98" s="22" t="e">
        <f>POWER(C4-E98,2)+POWER(C6-F98,2)+POWER(C8-G98,2)</f>
        <v>#NUM!</v>
      </c>
      <c r="D98" s="39" t="s">
        <v>414</v>
      </c>
      <c r="E98" s="40">
        <v>1.9</v>
      </c>
      <c r="F98" s="40">
        <v>4.4000000000000004</v>
      </c>
      <c r="G98" s="40">
        <v>2.2000000000000002</v>
      </c>
      <c r="H98" s="42">
        <f t="shared" si="2"/>
        <v>0.30000000000000027</v>
      </c>
      <c r="I98" s="42">
        <f t="shared" si="3"/>
        <v>4.7000000000000011</v>
      </c>
    </row>
    <row r="99" spans="1:9" hidden="1">
      <c r="A99" s="13"/>
      <c r="B99" s="13"/>
      <c r="C99" s="22" t="e">
        <f>POWER(C4-E99,2)+POWER(C6-F99,2)+POWER(C8-G99,2)</f>
        <v>#NUM!</v>
      </c>
      <c r="D99" s="27" t="s">
        <v>207</v>
      </c>
      <c r="E99" s="28">
        <v>2</v>
      </c>
      <c r="F99" s="28">
        <v>3.87</v>
      </c>
      <c r="G99" s="28">
        <v>4.07</v>
      </c>
      <c r="H99" s="25">
        <f t="shared" ref="H99:H130" si="4">G99-E99</f>
        <v>2.0700000000000003</v>
      </c>
      <c r="I99" s="29">
        <f t="shared" ref="I99:I130" si="5">2*F99-(G99+E99)</f>
        <v>1.67</v>
      </c>
    </row>
    <row r="100" spans="1:9" hidden="1">
      <c r="A100" s="13"/>
      <c r="B100" s="13"/>
      <c r="C100" s="22" t="e">
        <f>POWER(C4-E100,2)+POWER(C6-F100,2)+POWER(C8-G100,2)</f>
        <v>#NUM!</v>
      </c>
      <c r="D100" s="27" t="s">
        <v>208</v>
      </c>
      <c r="E100" s="28">
        <v>2.4300000000000002</v>
      </c>
      <c r="F100" s="28">
        <v>4.4000000000000004</v>
      </c>
      <c r="G100" s="28">
        <v>3.45</v>
      </c>
      <c r="H100" s="25">
        <f t="shared" si="4"/>
        <v>1.02</v>
      </c>
      <c r="I100" s="29">
        <f t="shared" si="5"/>
        <v>2.92</v>
      </c>
    </row>
    <row r="101" spans="1:9" hidden="1">
      <c r="A101" s="13"/>
      <c r="B101" s="13"/>
      <c r="C101" s="22" t="e">
        <f>POWER(C4-E101,2)+POWER(C6-F101,2)+POWER(C8-G101,2)</f>
        <v>#NUM!</v>
      </c>
      <c r="D101" s="27" t="s">
        <v>209</v>
      </c>
      <c r="E101" s="28">
        <v>2.5</v>
      </c>
      <c r="F101" s="28">
        <v>4.54</v>
      </c>
      <c r="G101" s="28">
        <v>3.32</v>
      </c>
      <c r="H101" s="25">
        <f t="shared" si="4"/>
        <v>0.81999999999999984</v>
      </c>
      <c r="I101" s="29">
        <f t="shared" si="5"/>
        <v>3.26</v>
      </c>
    </row>
    <row r="102" spans="1:9" hidden="1">
      <c r="A102" s="13"/>
      <c r="B102" s="13"/>
      <c r="C102" s="22" t="e">
        <f>POWER(C4-E102,2)+POWER(C6-F102,2)+POWER(C8-G102,2)</f>
        <v>#NUM!</v>
      </c>
      <c r="D102" s="27" t="s">
        <v>210</v>
      </c>
      <c r="E102" s="28">
        <v>2.6</v>
      </c>
      <c r="F102" s="28">
        <v>4.5199999999999996</v>
      </c>
      <c r="G102" s="28">
        <v>3.27</v>
      </c>
      <c r="H102" s="25">
        <f t="shared" si="4"/>
        <v>0.66999999999999993</v>
      </c>
      <c r="I102" s="29">
        <f t="shared" si="5"/>
        <v>3.169999999999999</v>
      </c>
    </row>
    <row r="103" spans="1:9" hidden="1">
      <c r="A103" s="13"/>
      <c r="B103" s="13"/>
      <c r="C103" s="22" t="e">
        <f>POWER(C4-E103,2)+POWER(C6-F103,2)+POWER(C8-G103,2)</f>
        <v>#NUM!</v>
      </c>
      <c r="D103" s="27" t="s">
        <v>211</v>
      </c>
      <c r="E103" s="28">
        <v>2.3199999999999998</v>
      </c>
      <c r="F103" s="28">
        <v>4.3899999999999997</v>
      </c>
      <c r="G103" s="28">
        <v>3.32</v>
      </c>
      <c r="H103" s="25">
        <f t="shared" si="4"/>
        <v>1</v>
      </c>
      <c r="I103" s="29">
        <f t="shared" si="5"/>
        <v>3.1399999999999997</v>
      </c>
    </row>
    <row r="104" spans="1:9" hidden="1">
      <c r="A104" s="13"/>
      <c r="B104" s="13"/>
      <c r="C104" s="22" t="e">
        <f>POWER(C4-E104,2)+POWER(C6-F104,2)+POWER(C8-G104,2)</f>
        <v>#NUM!</v>
      </c>
      <c r="D104" s="27" t="s">
        <v>212</v>
      </c>
      <c r="E104" s="28">
        <v>2.52</v>
      </c>
      <c r="F104" s="28">
        <v>4.82</v>
      </c>
      <c r="G104" s="28">
        <v>2.81</v>
      </c>
      <c r="H104" s="25">
        <f t="shared" si="4"/>
        <v>0.29000000000000004</v>
      </c>
      <c r="I104" s="29">
        <f t="shared" si="5"/>
        <v>4.3100000000000005</v>
      </c>
    </row>
    <row r="105" spans="1:9" hidden="1">
      <c r="A105" s="13"/>
      <c r="B105" s="13"/>
      <c r="C105" s="22" t="e">
        <f>POWER(C4-E105,2)+POWER(C6-F105,2)+POWER(C8-G105,2)</f>
        <v>#NUM!</v>
      </c>
      <c r="D105" s="27" t="s">
        <v>213</v>
      </c>
      <c r="E105" s="28">
        <v>2.79</v>
      </c>
      <c r="F105" s="28">
        <v>4.8099999999999996</v>
      </c>
      <c r="G105" s="28">
        <v>2.57</v>
      </c>
      <c r="H105" s="25">
        <f t="shared" si="4"/>
        <v>-0.2200000000000002</v>
      </c>
      <c r="I105" s="29">
        <f t="shared" si="5"/>
        <v>4.26</v>
      </c>
    </row>
    <row r="106" spans="1:9" hidden="1">
      <c r="A106" s="13"/>
      <c r="B106" s="13"/>
      <c r="C106" s="22" t="e">
        <f>POWER(C4-E106,2)+POWER(C6-F106,2)+POWER(C8-G106,2)</f>
        <v>#NUM!</v>
      </c>
      <c r="D106" s="27" t="s">
        <v>214</v>
      </c>
      <c r="E106" s="28">
        <v>2.2999999999999998</v>
      </c>
      <c r="F106" s="28">
        <v>5.6</v>
      </c>
      <c r="G106" s="28">
        <v>2.4</v>
      </c>
      <c r="H106" s="25">
        <f t="shared" si="4"/>
        <v>0.10000000000000009</v>
      </c>
      <c r="I106" s="29">
        <f t="shared" si="5"/>
        <v>6.5</v>
      </c>
    </row>
    <row r="107" spans="1:9" hidden="1">
      <c r="A107" s="13"/>
      <c r="B107" s="13"/>
      <c r="C107" s="22" t="e">
        <f>POWER(C4-E107,2)+POWER(C6-F107,2)+POWER(C8-G107,2)</f>
        <v>#NUM!</v>
      </c>
      <c r="D107" s="27" t="s">
        <v>215</v>
      </c>
      <c r="E107" s="28">
        <v>2.2000000000000002</v>
      </c>
      <c r="F107" s="28">
        <v>4.8</v>
      </c>
      <c r="G107" s="28">
        <v>2.2999999999999998</v>
      </c>
      <c r="H107" s="25">
        <f t="shared" si="4"/>
        <v>9.9999999999999645E-2</v>
      </c>
      <c r="I107" s="29">
        <f t="shared" si="5"/>
        <v>5.0999999999999996</v>
      </c>
    </row>
    <row r="108" spans="1:9" hidden="1">
      <c r="A108" s="13"/>
      <c r="B108" s="13"/>
      <c r="C108" s="22" t="e">
        <f>POWER(C4-E108,2)+POWER(C6-F108,2)+POWER(C8-G108,2)</f>
        <v>#NUM!</v>
      </c>
      <c r="D108" s="36" t="s">
        <v>216</v>
      </c>
      <c r="E108" s="37">
        <v>2.14</v>
      </c>
      <c r="F108" s="37">
        <v>4.93</v>
      </c>
      <c r="G108" s="37">
        <v>2.1800000000000002</v>
      </c>
      <c r="H108" s="25">
        <f t="shared" si="4"/>
        <v>4.0000000000000036E-2</v>
      </c>
      <c r="I108" s="29">
        <f t="shared" si="5"/>
        <v>5.5399999999999991</v>
      </c>
    </row>
    <row r="109" spans="1:9" hidden="1">
      <c r="A109" s="13"/>
      <c r="B109" s="13"/>
      <c r="C109" s="22" t="e">
        <f>POWER(C4-E109,2)+POWER(C6-F109,2)+POWER(C8-G109,2)</f>
        <v>#NUM!</v>
      </c>
      <c r="D109" s="36" t="s">
        <v>217</v>
      </c>
      <c r="E109" s="37">
        <v>1.96</v>
      </c>
      <c r="F109" s="37">
        <v>4.37</v>
      </c>
      <c r="G109" s="37">
        <v>2.92</v>
      </c>
      <c r="H109" s="25">
        <f t="shared" si="4"/>
        <v>0.96</v>
      </c>
      <c r="I109" s="29">
        <f t="shared" si="5"/>
        <v>3.8600000000000003</v>
      </c>
    </row>
    <row r="110" spans="1:9" hidden="1">
      <c r="A110" s="13"/>
      <c r="B110" s="13"/>
      <c r="C110" s="22" t="e">
        <f>POWER(C4-E110,2)+POWER(C6-F110,2)+POWER(C8-G110,2)</f>
        <v>#NUM!</v>
      </c>
      <c r="D110" s="36" t="s">
        <v>218</v>
      </c>
      <c r="E110" s="37">
        <v>1.61</v>
      </c>
      <c r="F110" s="37">
        <v>4.62</v>
      </c>
      <c r="G110" s="37">
        <v>2.76</v>
      </c>
      <c r="H110" s="25">
        <f t="shared" si="4"/>
        <v>1.1499999999999997</v>
      </c>
      <c r="I110" s="29">
        <f t="shared" si="5"/>
        <v>4.87</v>
      </c>
    </row>
    <row r="111" spans="1:9" hidden="1">
      <c r="A111" s="13"/>
      <c r="B111" s="13"/>
      <c r="C111" s="22" t="e">
        <f>POWER(C4-E111,2)+POWER(C6-F111,2)+POWER(C8-G111,2)</f>
        <v>#NUM!</v>
      </c>
      <c r="D111" s="27" t="s">
        <v>219</v>
      </c>
      <c r="E111" s="28">
        <v>1.9</v>
      </c>
      <c r="F111" s="28">
        <v>6.1</v>
      </c>
      <c r="G111" s="28">
        <v>2.5</v>
      </c>
      <c r="H111" s="25">
        <f t="shared" si="4"/>
        <v>0.60000000000000009</v>
      </c>
      <c r="I111" s="29">
        <f t="shared" si="5"/>
        <v>7.7999999999999989</v>
      </c>
    </row>
    <row r="112" spans="1:9" hidden="1">
      <c r="A112" s="13"/>
      <c r="B112" s="13"/>
      <c r="C112" s="22" t="e">
        <f>POWER(C4-E112,2)+POWER(C6-F112,2)+POWER(C8-G112,2)</f>
        <v>#NUM!</v>
      </c>
      <c r="D112" s="27" t="s">
        <v>220</v>
      </c>
      <c r="E112" s="28">
        <v>1.4</v>
      </c>
      <c r="F112" s="28">
        <v>5.9</v>
      </c>
      <c r="G112" s="28">
        <v>2.4</v>
      </c>
      <c r="H112" s="25">
        <f t="shared" si="4"/>
        <v>1</v>
      </c>
      <c r="I112" s="29">
        <f t="shared" si="5"/>
        <v>8</v>
      </c>
    </row>
    <row r="113" spans="1:9" hidden="1">
      <c r="A113" s="13"/>
      <c r="B113" s="13"/>
      <c r="C113" s="22" t="e">
        <f>POWER(C4-E113,2)+POWER(C6-F113,2)+POWER(C8-G113,2)</f>
        <v>#NUM!</v>
      </c>
      <c r="D113" s="27" t="s">
        <v>221</v>
      </c>
      <c r="E113" s="28">
        <v>1.4</v>
      </c>
      <c r="F113" s="28">
        <v>5.8</v>
      </c>
      <c r="G113" s="28">
        <v>2.5</v>
      </c>
      <c r="H113" s="25">
        <f t="shared" si="4"/>
        <v>1.1000000000000001</v>
      </c>
      <c r="I113" s="29">
        <f t="shared" si="5"/>
        <v>7.6999999999999993</v>
      </c>
    </row>
    <row r="114" spans="1:9" hidden="1">
      <c r="A114" s="13"/>
      <c r="B114" s="13"/>
      <c r="C114" s="22" t="e">
        <f>POWER(C4-E114,2)+POWER(C6-F114,2)+POWER(C8-G114,2)</f>
        <v>#NUM!</v>
      </c>
      <c r="D114" s="27" t="s">
        <v>222</v>
      </c>
      <c r="E114" s="28">
        <v>1.1000000000000001</v>
      </c>
      <c r="F114" s="28">
        <v>6.3</v>
      </c>
      <c r="G114" s="28">
        <v>2.5</v>
      </c>
      <c r="H114" s="25">
        <f t="shared" si="4"/>
        <v>1.4</v>
      </c>
      <c r="I114" s="29">
        <f t="shared" si="5"/>
        <v>9</v>
      </c>
    </row>
    <row r="115" spans="1:9" hidden="1">
      <c r="A115" s="13"/>
      <c r="B115" s="13"/>
      <c r="C115" s="22" t="e">
        <f>POWER(C4-E115,2)+POWER(C6-F115,2)+POWER(C8-G115,2)</f>
        <v>#NUM!</v>
      </c>
      <c r="D115" s="27" t="s">
        <v>223</v>
      </c>
      <c r="E115" s="28">
        <v>1.4</v>
      </c>
      <c r="F115" s="28">
        <v>6.9</v>
      </c>
      <c r="G115" s="28">
        <v>1</v>
      </c>
      <c r="H115" s="25">
        <f t="shared" si="4"/>
        <v>-0.39999999999999991</v>
      </c>
      <c r="I115" s="29">
        <f t="shared" si="5"/>
        <v>11.4</v>
      </c>
    </row>
    <row r="116" spans="1:9" hidden="1">
      <c r="A116" s="13"/>
      <c r="B116" s="13"/>
      <c r="C116" s="22" t="e">
        <f>POWER(C4-E116,2)+POWER(C6-F116,2)+POWER(C8-G116,2)</f>
        <v>#NUM!</v>
      </c>
      <c r="D116" s="27" t="s">
        <v>224</v>
      </c>
      <c r="E116" s="28">
        <v>5.0999999999999996</v>
      </c>
      <c r="F116" s="28">
        <v>9.1</v>
      </c>
      <c r="G116" s="28">
        <v>0.4</v>
      </c>
      <c r="H116" s="25">
        <f t="shared" si="4"/>
        <v>-4.6999999999999993</v>
      </c>
      <c r="I116" s="29">
        <f t="shared" si="5"/>
        <v>12.7</v>
      </c>
    </row>
    <row r="117" spans="1:9" hidden="1">
      <c r="A117" s="13"/>
      <c r="B117" s="13"/>
      <c r="C117" s="22" t="e">
        <f>POWER(C4-E117,2)+POWER(C6-F117,2)+POWER(C8-G117,2)</f>
        <v>#NUM!</v>
      </c>
      <c r="D117" s="27" t="s">
        <v>225</v>
      </c>
      <c r="E117" s="28">
        <v>1.8</v>
      </c>
      <c r="F117" s="28">
        <v>7</v>
      </c>
      <c r="G117" s="28">
        <v>1.1000000000000001</v>
      </c>
      <c r="H117" s="25">
        <f t="shared" si="4"/>
        <v>-0.7</v>
      </c>
      <c r="I117" s="29">
        <f t="shared" si="5"/>
        <v>11.1</v>
      </c>
    </row>
    <row r="118" spans="1:9" hidden="1">
      <c r="A118" s="13"/>
      <c r="B118" s="13"/>
      <c r="C118" s="22" t="e">
        <f>POWER(C4-E118,2)+POWER(C6-F118,2)+POWER(C8-G118,2)</f>
        <v>#NUM!</v>
      </c>
      <c r="D118" s="27" t="s">
        <v>226</v>
      </c>
      <c r="E118" s="28">
        <v>2.7</v>
      </c>
      <c r="F118" s="28">
        <v>7.8</v>
      </c>
      <c r="G118" s="28">
        <v>0.7</v>
      </c>
      <c r="H118" s="25">
        <f t="shared" si="4"/>
        <v>-2</v>
      </c>
      <c r="I118" s="29">
        <f t="shared" si="5"/>
        <v>12.2</v>
      </c>
    </row>
    <row r="119" spans="1:9" hidden="1">
      <c r="A119" s="13"/>
      <c r="B119" s="13"/>
      <c r="C119" s="22" t="e">
        <f>POWER(C4-E119,2)+POWER(C6-F119,2)+POWER(C8-G119,2)</f>
        <v>#NUM!</v>
      </c>
      <c r="D119" s="27" t="s">
        <v>227</v>
      </c>
      <c r="E119" s="28">
        <v>3.26</v>
      </c>
      <c r="F119" s="28">
        <v>4.62</v>
      </c>
      <c r="G119" s="28">
        <v>3.16</v>
      </c>
      <c r="H119" s="25">
        <f t="shared" si="4"/>
        <v>-9.9999999999999645E-2</v>
      </c>
      <c r="I119" s="29">
        <f t="shared" si="5"/>
        <v>2.8200000000000003</v>
      </c>
    </row>
    <row r="120" spans="1:9" hidden="1">
      <c r="A120" s="13"/>
      <c r="B120" s="13"/>
      <c r="C120" s="22" t="e">
        <f>POWER(C4-E120,2)+POWER(C6-F120,2)+POWER(C8-G120,2)</f>
        <v>#NUM!</v>
      </c>
      <c r="D120" s="27" t="s">
        <v>228</v>
      </c>
      <c r="E120" s="28">
        <v>2.71</v>
      </c>
      <c r="F120" s="28">
        <v>4.38</v>
      </c>
      <c r="G120" s="28">
        <v>3.49</v>
      </c>
      <c r="H120" s="25">
        <f t="shared" si="4"/>
        <v>0.78000000000000025</v>
      </c>
      <c r="I120" s="29">
        <f t="shared" si="5"/>
        <v>2.5599999999999996</v>
      </c>
    </row>
    <row r="121" spans="1:9" hidden="1">
      <c r="A121" s="13"/>
      <c r="B121" s="13"/>
      <c r="C121" s="22" t="e">
        <f>POWER(C4-E121,2)+POWER(C6-F121,2)+POWER(C8-G121,2)</f>
        <v>#NUM!</v>
      </c>
      <c r="D121" s="27" t="s">
        <v>229</v>
      </c>
      <c r="E121" s="28">
        <v>2.54</v>
      </c>
      <c r="F121" s="28">
        <v>3.94</v>
      </c>
      <c r="G121" s="28">
        <v>3.44</v>
      </c>
      <c r="H121" s="25">
        <f t="shared" si="4"/>
        <v>0.89999999999999991</v>
      </c>
      <c r="I121" s="29">
        <f t="shared" si="5"/>
        <v>1.8999999999999995</v>
      </c>
    </row>
    <row r="122" spans="1:9" hidden="1">
      <c r="A122" s="13"/>
      <c r="B122" s="13"/>
      <c r="C122" s="22" t="e">
        <f>POWER(C4-E122,2)+POWER(C6-F122,2)+POWER(C8-G122,2)</f>
        <v>#NUM!</v>
      </c>
      <c r="D122" s="27" t="s">
        <v>230</v>
      </c>
      <c r="E122" s="28">
        <v>3.18</v>
      </c>
      <c r="F122" s="28">
        <v>4.82</v>
      </c>
      <c r="G122" s="28">
        <v>2.86</v>
      </c>
      <c r="H122" s="25">
        <f t="shared" si="4"/>
        <v>-0.32000000000000028</v>
      </c>
      <c r="I122" s="29">
        <f t="shared" si="5"/>
        <v>3.6000000000000005</v>
      </c>
    </row>
    <row r="123" spans="1:9" hidden="1">
      <c r="A123" s="13"/>
      <c r="B123" s="13"/>
      <c r="C123" s="22" t="e">
        <f>POWER(C4-E123,2)+POWER(C6-F123,2)+POWER(C8-G123,2)</f>
        <v>#NUM!</v>
      </c>
      <c r="D123" s="27" t="s">
        <v>231</v>
      </c>
      <c r="E123" s="28">
        <v>4.2699999999999996</v>
      </c>
      <c r="F123" s="28">
        <v>4.7699999999999996</v>
      </c>
      <c r="G123" s="28">
        <v>2.7</v>
      </c>
      <c r="H123" s="25">
        <f t="shared" si="4"/>
        <v>-1.5699999999999994</v>
      </c>
      <c r="I123" s="29">
        <f t="shared" si="5"/>
        <v>2.5699999999999994</v>
      </c>
    </row>
    <row r="124" spans="1:9" hidden="1">
      <c r="A124" s="13"/>
      <c r="B124" s="13"/>
      <c r="C124" s="22" t="e">
        <f>POWER(C4-E124,2)+POWER(C6-F124,2)+POWER(C8-G124,2)</f>
        <v>#NUM!</v>
      </c>
      <c r="D124" s="27" t="s">
        <v>232</v>
      </c>
      <c r="E124" s="28">
        <v>3.59</v>
      </c>
      <c r="F124" s="28">
        <v>4.79</v>
      </c>
      <c r="G124" s="28">
        <v>2.57</v>
      </c>
      <c r="H124" s="25">
        <f t="shared" si="4"/>
        <v>-1.02</v>
      </c>
      <c r="I124" s="29">
        <f t="shared" si="5"/>
        <v>3.42</v>
      </c>
    </row>
    <row r="125" spans="1:9" hidden="1">
      <c r="A125" s="13"/>
      <c r="B125" s="13"/>
      <c r="C125" s="22" t="e">
        <f>POWER(C4-E125,2)+POWER(C6-F125,2)+POWER(C8-G125,2)</f>
        <v>#NUM!</v>
      </c>
      <c r="D125" s="27" t="s">
        <v>233</v>
      </c>
      <c r="E125" s="28">
        <v>2</v>
      </c>
      <c r="F125" s="28">
        <v>5.0999999999999996</v>
      </c>
      <c r="G125" s="28">
        <v>2.8</v>
      </c>
      <c r="H125" s="25">
        <f t="shared" si="4"/>
        <v>0.79999999999999982</v>
      </c>
      <c r="I125" s="29">
        <f t="shared" si="5"/>
        <v>5.3999999999999995</v>
      </c>
    </row>
    <row r="126" spans="1:9" hidden="1">
      <c r="A126" s="13"/>
      <c r="B126" s="13"/>
      <c r="C126" s="22" t="e">
        <f>POWER(C4-E126,2)+POWER(C6-F126,2)+POWER(C8-G126,2)</f>
        <v>#NUM!</v>
      </c>
      <c r="D126" s="27" t="s">
        <v>234</v>
      </c>
      <c r="E126" s="28">
        <v>2.9</v>
      </c>
      <c r="F126" s="28">
        <v>5.0999999999999996</v>
      </c>
      <c r="G126" s="28">
        <v>3</v>
      </c>
      <c r="H126" s="25">
        <f t="shared" si="4"/>
        <v>0.10000000000000009</v>
      </c>
      <c r="I126" s="29">
        <f t="shared" si="5"/>
        <v>4.2999999999999989</v>
      </c>
    </row>
    <row r="127" spans="1:9" hidden="1">
      <c r="A127" s="13"/>
      <c r="B127" s="13"/>
      <c r="C127" s="22" t="e">
        <f>POWER(C4-E127,2)+POWER(C6-F127,2)+POWER(C8-G127,2)</f>
        <v>#NUM!</v>
      </c>
      <c r="D127" s="27" t="s">
        <v>235</v>
      </c>
      <c r="E127" s="28">
        <v>2.4</v>
      </c>
      <c r="F127" s="28">
        <v>5.4</v>
      </c>
      <c r="G127" s="28">
        <v>2.6</v>
      </c>
      <c r="H127" s="25">
        <f t="shared" si="4"/>
        <v>0.20000000000000018</v>
      </c>
      <c r="I127" s="29">
        <f t="shared" si="5"/>
        <v>5.8000000000000007</v>
      </c>
    </row>
    <row r="128" spans="1:9" hidden="1">
      <c r="A128" s="13"/>
      <c r="B128" s="13"/>
      <c r="C128" s="22" t="e">
        <f>POWER(C4-E128,2)+POWER(C6-F128,2)+POWER(C8-G128,2)</f>
        <v>#NUM!</v>
      </c>
      <c r="D128" s="27" t="s">
        <v>236</v>
      </c>
      <c r="E128" s="28">
        <v>3.73</v>
      </c>
      <c r="F128" s="28">
        <v>4.4000000000000004</v>
      </c>
      <c r="G128" s="28">
        <v>3.13</v>
      </c>
      <c r="H128" s="25">
        <f t="shared" si="4"/>
        <v>-0.60000000000000009</v>
      </c>
      <c r="I128" s="29">
        <f t="shared" si="5"/>
        <v>1.9400000000000013</v>
      </c>
    </row>
    <row r="129" spans="1:9" hidden="1">
      <c r="A129" s="13"/>
      <c r="B129" s="13"/>
      <c r="C129" s="22" t="e">
        <f>POWER(C4-E129,2)+POWER(C6-F129,2)+POWER(C8-G129,2)</f>
        <v>#NUM!</v>
      </c>
      <c r="D129" s="27" t="s">
        <v>237</v>
      </c>
      <c r="E129" s="28">
        <v>2.8</v>
      </c>
      <c r="F129" s="28">
        <v>4.29</v>
      </c>
      <c r="G129" s="28">
        <v>3.43</v>
      </c>
      <c r="H129" s="25">
        <f t="shared" si="4"/>
        <v>0.63000000000000034</v>
      </c>
      <c r="I129" s="29">
        <f t="shared" si="5"/>
        <v>2.3499999999999996</v>
      </c>
    </row>
    <row r="130" spans="1:9" hidden="1">
      <c r="A130" s="13"/>
      <c r="B130" s="13"/>
      <c r="C130" s="22" t="e">
        <f>POWER(C4-E130,2)+POWER(C6-F130,2)+POWER(C8-G130,2)</f>
        <v>#NUM!</v>
      </c>
      <c r="D130" s="27" t="s">
        <v>238</v>
      </c>
      <c r="E130" s="28">
        <v>2.81</v>
      </c>
      <c r="F130" s="28">
        <v>4.51</v>
      </c>
      <c r="G130" s="28">
        <v>3.15</v>
      </c>
      <c r="H130" s="25">
        <f t="shared" si="4"/>
        <v>0.33999999999999986</v>
      </c>
      <c r="I130" s="29">
        <f t="shared" si="5"/>
        <v>3.0599999999999996</v>
      </c>
    </row>
    <row r="131" spans="1:9" hidden="1">
      <c r="A131" s="13"/>
      <c r="B131" s="13"/>
      <c r="C131" s="22" t="e">
        <f>POWER(C4-E131,2)+POWER(C6-F131,2)+POWER(C8-G131,2)</f>
        <v>#NUM!</v>
      </c>
      <c r="D131" s="27" t="s">
        <v>239</v>
      </c>
      <c r="E131" s="28">
        <v>3.43</v>
      </c>
      <c r="F131" s="28">
        <v>4.6100000000000003</v>
      </c>
      <c r="G131" s="28">
        <v>2.92</v>
      </c>
      <c r="H131" s="25">
        <f t="shared" ref="H131:H160" si="6">G131-E131</f>
        <v>-0.51000000000000023</v>
      </c>
      <c r="I131" s="29">
        <f t="shared" ref="I131:I160" si="7">2*F131-(G131+E131)</f>
        <v>2.870000000000001</v>
      </c>
    </row>
    <row r="132" spans="1:9" hidden="1">
      <c r="A132" s="13"/>
      <c r="B132" s="13"/>
      <c r="C132" s="22" t="e">
        <f>POWER(C4-E132,2)+POWER(C6-F132,2)+POWER(C8-G132,2)</f>
        <v>#NUM!</v>
      </c>
      <c r="D132" s="27" t="s">
        <v>240</v>
      </c>
      <c r="E132" s="28">
        <v>2.13</v>
      </c>
      <c r="F132" s="28">
        <v>4.47</v>
      </c>
      <c r="G132" s="28">
        <v>3.34</v>
      </c>
      <c r="H132" s="25">
        <f t="shared" si="6"/>
        <v>1.21</v>
      </c>
      <c r="I132" s="29">
        <f t="shared" si="7"/>
        <v>3.4699999999999998</v>
      </c>
    </row>
    <row r="133" spans="1:9" hidden="1">
      <c r="A133" s="13"/>
      <c r="B133" s="13"/>
      <c r="C133" s="22" t="e">
        <f>POWER(C4-E133,2)+POWER(C6-F133,2)+POWER(C8-G133,2)</f>
        <v>#NUM!</v>
      </c>
      <c r="D133" s="27" t="s">
        <v>241</v>
      </c>
      <c r="E133" s="28">
        <v>1.61</v>
      </c>
      <c r="F133" s="28">
        <v>3.17</v>
      </c>
      <c r="G133" s="28">
        <v>4.54</v>
      </c>
      <c r="H133" s="25">
        <f t="shared" si="6"/>
        <v>2.9299999999999997</v>
      </c>
      <c r="I133" s="29">
        <f t="shared" si="7"/>
        <v>0.1899999999999995</v>
      </c>
    </row>
    <row r="134" spans="1:9" hidden="1">
      <c r="A134" s="13"/>
      <c r="B134" s="13"/>
      <c r="C134" s="22" t="e">
        <f>POWER(C4-E134,2)+POWER(C6-F134,2)+POWER(C8-G134,2)</f>
        <v>#NUM!</v>
      </c>
      <c r="D134" s="27" t="s">
        <v>242</v>
      </c>
      <c r="E134" s="28">
        <v>2.2999999999999998</v>
      </c>
      <c r="F134" s="28">
        <v>4.5999999999999996</v>
      </c>
      <c r="G134" s="28">
        <v>2.7</v>
      </c>
      <c r="H134" s="25">
        <f t="shared" si="6"/>
        <v>0.40000000000000036</v>
      </c>
      <c r="I134" s="29">
        <f t="shared" si="7"/>
        <v>4.1999999999999993</v>
      </c>
    </row>
    <row r="135" spans="1:9" hidden="1">
      <c r="A135" s="13"/>
      <c r="B135" s="13"/>
      <c r="C135" s="22" t="e">
        <f>POWER(C4-E135,2)+POWER(C6-F135,2)+POWER(C8-G135,2)</f>
        <v>#NUM!</v>
      </c>
      <c r="D135" s="27" t="s">
        <v>243</v>
      </c>
      <c r="E135" s="28">
        <v>3.2</v>
      </c>
      <c r="F135" s="28">
        <v>3.8</v>
      </c>
      <c r="G135" s="28">
        <v>2.7</v>
      </c>
      <c r="H135" s="25">
        <f t="shared" si="6"/>
        <v>-0.5</v>
      </c>
      <c r="I135" s="29">
        <f t="shared" si="7"/>
        <v>1.6999999999999993</v>
      </c>
    </row>
    <row r="136" spans="1:9" hidden="1">
      <c r="A136" s="13"/>
      <c r="B136" s="13"/>
      <c r="C136" s="22" t="e">
        <f>POWER(C4-E136,2)+POWER(C6-F136,2)+POWER(C8-G136,2)</f>
        <v>#NUM!</v>
      </c>
      <c r="D136" s="27" t="s">
        <v>244</v>
      </c>
      <c r="E136" s="28">
        <v>2.4</v>
      </c>
      <c r="F136" s="28">
        <v>5.4</v>
      </c>
      <c r="G136" s="28">
        <v>2.6</v>
      </c>
      <c r="H136" s="25">
        <f t="shared" si="6"/>
        <v>0.20000000000000018</v>
      </c>
      <c r="I136" s="29">
        <f t="shared" si="7"/>
        <v>5.8000000000000007</v>
      </c>
    </row>
    <row r="137" spans="1:9" hidden="1">
      <c r="A137" s="13"/>
      <c r="B137" s="13"/>
      <c r="C137" s="22" t="e">
        <f>POWER(C4-E137,2)+POWER(C6-F137,2)+POWER(C8-G137,2)</f>
        <v>#NUM!</v>
      </c>
      <c r="D137" s="27" t="s">
        <v>245</v>
      </c>
      <c r="E137" s="28">
        <v>1.9</v>
      </c>
      <c r="F137" s="28">
        <v>6.4</v>
      </c>
      <c r="G137" s="28">
        <v>1.5</v>
      </c>
      <c r="H137" s="25">
        <f t="shared" si="6"/>
        <v>-0.39999999999999991</v>
      </c>
      <c r="I137" s="29">
        <f t="shared" si="7"/>
        <v>9.4</v>
      </c>
    </row>
    <row r="138" spans="1:9" hidden="1">
      <c r="A138" s="13"/>
      <c r="B138" s="13"/>
      <c r="C138" s="22" t="e">
        <f>POWER(C4-E138,2)+POWER(C6-F138,2)+POWER(C8-G138,2)</f>
        <v>#NUM!</v>
      </c>
      <c r="D138" s="27" t="s">
        <v>246</v>
      </c>
      <c r="E138" s="28">
        <v>2.2000000000000002</v>
      </c>
      <c r="F138" s="28">
        <v>6.5</v>
      </c>
      <c r="G138" s="28">
        <v>1.2</v>
      </c>
      <c r="H138" s="25">
        <f t="shared" si="6"/>
        <v>-1.0000000000000002</v>
      </c>
      <c r="I138" s="29">
        <f t="shared" si="7"/>
        <v>9.6</v>
      </c>
    </row>
    <row r="139" spans="1:9" hidden="1">
      <c r="A139" s="13"/>
      <c r="B139" s="13"/>
      <c r="C139" s="22" t="e">
        <f>POWER(C4-E139,2)+POWER(C6-F139,2)+POWER(C8-G139,2)</f>
        <v>#NUM!</v>
      </c>
      <c r="D139" s="27" t="s">
        <v>247</v>
      </c>
      <c r="E139" s="28">
        <v>2</v>
      </c>
      <c r="F139" s="28">
        <v>6.4</v>
      </c>
      <c r="G139" s="28">
        <v>1.3</v>
      </c>
      <c r="H139" s="25">
        <f t="shared" si="6"/>
        <v>-0.7</v>
      </c>
      <c r="I139" s="29">
        <f t="shared" si="7"/>
        <v>9.5</v>
      </c>
    </row>
    <row r="140" spans="1:9" hidden="1">
      <c r="A140" s="13"/>
      <c r="B140" s="13"/>
      <c r="C140" s="22" t="e">
        <f>POWER(C4-E140,2)+POWER(C6-F140,2)+POWER(C8-G140,2)</f>
        <v>#NUM!</v>
      </c>
      <c r="D140" s="27" t="s">
        <v>248</v>
      </c>
      <c r="E140" s="28">
        <v>2.1</v>
      </c>
      <c r="F140" s="28">
        <v>5.9</v>
      </c>
      <c r="G140" s="28">
        <v>1.6</v>
      </c>
      <c r="H140" s="25">
        <f t="shared" si="6"/>
        <v>-0.5</v>
      </c>
      <c r="I140" s="29">
        <f t="shared" si="7"/>
        <v>8.1000000000000014</v>
      </c>
    </row>
    <row r="141" spans="1:9" hidden="1">
      <c r="A141" s="13"/>
      <c r="B141" s="13"/>
      <c r="C141" s="22" t="e">
        <f>POWER(C4-E141,2)+POWER(C6-F141,2)+POWER(C8-G141,2)</f>
        <v>#NUM!</v>
      </c>
      <c r="D141" s="27" t="s">
        <v>249</v>
      </c>
      <c r="E141" s="28">
        <v>2.2000000000000002</v>
      </c>
      <c r="F141" s="28">
        <v>6.1</v>
      </c>
      <c r="G141" s="28">
        <v>1.6</v>
      </c>
      <c r="H141" s="25">
        <f t="shared" si="6"/>
        <v>-0.60000000000000009</v>
      </c>
      <c r="I141" s="29">
        <f t="shared" si="7"/>
        <v>8.3999999999999986</v>
      </c>
    </row>
    <row r="142" spans="1:9" hidden="1">
      <c r="A142" s="13"/>
      <c r="B142" s="13"/>
      <c r="C142" s="22" t="e">
        <f>POWER(C4-E142,2)+POWER(C6-F142,2)+POWER(C8-G142,2)</f>
        <v>#NUM!</v>
      </c>
      <c r="D142" s="27" t="s">
        <v>250</v>
      </c>
      <c r="E142" s="28">
        <v>2.4</v>
      </c>
      <c r="F142" s="28">
        <v>5.9</v>
      </c>
      <c r="G142" s="28">
        <v>1.8</v>
      </c>
      <c r="H142" s="25">
        <f t="shared" si="6"/>
        <v>-0.59999999999999987</v>
      </c>
      <c r="I142" s="29">
        <f t="shared" si="7"/>
        <v>7.6000000000000005</v>
      </c>
    </row>
    <row r="143" spans="1:9" hidden="1">
      <c r="A143" s="13"/>
      <c r="B143" s="13"/>
      <c r="C143" s="22" t="e">
        <f>POWER(C4-E143,2)+POWER(C6-F143,2)+POWER(C8-G143,2)</f>
        <v>#NUM!</v>
      </c>
      <c r="D143" s="27" t="s">
        <v>251</v>
      </c>
      <c r="E143" s="28">
        <v>2.2999999999999998</v>
      </c>
      <c r="F143" s="28">
        <v>5.8</v>
      </c>
      <c r="G143" s="28">
        <v>1.6</v>
      </c>
      <c r="H143" s="25">
        <f t="shared" si="6"/>
        <v>-0.69999999999999973</v>
      </c>
      <c r="I143" s="29">
        <f t="shared" si="7"/>
        <v>7.6999999999999993</v>
      </c>
    </row>
    <row r="144" spans="1:9" hidden="1">
      <c r="A144" s="13"/>
      <c r="B144" s="13"/>
      <c r="C144" s="22" t="e">
        <f>POWER(C4-E144,2)+POWER(C6-F144,2)+POWER(C8-G144,2)</f>
        <v>#NUM!</v>
      </c>
      <c r="D144" s="27" t="s">
        <v>252</v>
      </c>
      <c r="E144" s="28">
        <v>2.8</v>
      </c>
      <c r="F144" s="28">
        <v>6</v>
      </c>
      <c r="G144" s="28">
        <v>1.7</v>
      </c>
      <c r="H144" s="25">
        <f t="shared" si="6"/>
        <v>-1.0999999999999999</v>
      </c>
      <c r="I144" s="29">
        <f t="shared" si="7"/>
        <v>7.5</v>
      </c>
    </row>
    <row r="145" spans="1:9" hidden="1">
      <c r="A145" s="13"/>
      <c r="B145" s="13"/>
      <c r="C145" s="22" t="e">
        <f>POWER(C4-E145,2)+POWER(C6-F145,2)+POWER(C8-G145,2)</f>
        <v>#NUM!</v>
      </c>
      <c r="D145" s="27" t="s">
        <v>253</v>
      </c>
      <c r="E145" s="28">
        <v>3.6</v>
      </c>
      <c r="F145" s="28">
        <v>7</v>
      </c>
      <c r="G145" s="28">
        <v>0.9</v>
      </c>
      <c r="H145" s="25">
        <f t="shared" si="6"/>
        <v>-2.7</v>
      </c>
      <c r="I145" s="29">
        <f t="shared" si="7"/>
        <v>9.5</v>
      </c>
    </row>
    <row r="146" spans="1:9" hidden="1">
      <c r="A146" s="13"/>
      <c r="B146" s="13"/>
      <c r="C146" s="22" t="e">
        <f>POWER(C4-E146,2)+POWER(C6-F146,2)+POWER(C8-G146,2)</f>
        <v>#NUM!</v>
      </c>
      <c r="D146" s="27" t="s">
        <v>254</v>
      </c>
      <c r="E146" s="28">
        <v>3.7</v>
      </c>
      <c r="F146" s="28">
        <v>7.7</v>
      </c>
      <c r="G146" s="28">
        <v>0.7</v>
      </c>
      <c r="H146" s="25">
        <f t="shared" si="6"/>
        <v>-3</v>
      </c>
      <c r="I146" s="29">
        <f t="shared" si="7"/>
        <v>11</v>
      </c>
    </row>
    <row r="147" spans="1:9" hidden="1">
      <c r="A147" s="13"/>
      <c r="B147" s="13"/>
      <c r="C147" s="22" t="e">
        <f>POWER(C4-E147,2)+POWER(C6-F147,2)+POWER(C8-G147,2)</f>
        <v>#NUM!</v>
      </c>
      <c r="D147" s="27" t="s">
        <v>255</v>
      </c>
      <c r="E147" s="28">
        <v>2.2999999999999998</v>
      </c>
      <c r="F147" s="28">
        <v>5.6</v>
      </c>
      <c r="G147" s="28">
        <v>1.9</v>
      </c>
      <c r="H147" s="25">
        <f t="shared" si="6"/>
        <v>-0.39999999999999991</v>
      </c>
      <c r="I147" s="29">
        <f t="shared" si="7"/>
        <v>7</v>
      </c>
    </row>
    <row r="148" spans="1:9" hidden="1">
      <c r="A148" s="13"/>
      <c r="B148" s="13"/>
      <c r="C148" s="22" t="e">
        <f>POWER(C4-E148,2)+POWER(C6-F148,2)+POWER(C8-G148,2)</f>
        <v>#NUM!</v>
      </c>
      <c r="D148" s="27" t="s">
        <v>256</v>
      </c>
      <c r="E148" s="28">
        <v>3</v>
      </c>
      <c r="F148" s="28">
        <v>6</v>
      </c>
      <c r="G148" s="28">
        <v>1.7</v>
      </c>
      <c r="H148" s="25">
        <f t="shared" si="6"/>
        <v>-1.3</v>
      </c>
      <c r="I148" s="29">
        <f t="shared" si="7"/>
        <v>7.3</v>
      </c>
    </row>
    <row r="149" spans="1:9" hidden="1">
      <c r="A149" s="13"/>
      <c r="B149" s="13"/>
      <c r="C149" s="22" t="e">
        <f>POWER(C4-E149,2)+POWER(C6-F149,2)+POWER(C8-G149,2)</f>
        <v>#NUM!</v>
      </c>
      <c r="D149" s="27" t="s">
        <v>257</v>
      </c>
      <c r="E149" s="28">
        <v>4.0999999999999996</v>
      </c>
      <c r="F149" s="28">
        <v>6.2</v>
      </c>
      <c r="G149" s="28">
        <v>1.3</v>
      </c>
      <c r="H149" s="25">
        <f t="shared" si="6"/>
        <v>-2.8</v>
      </c>
      <c r="I149" s="29">
        <f t="shared" si="7"/>
        <v>7.0000000000000009</v>
      </c>
    </row>
    <row r="150" spans="1:9" hidden="1">
      <c r="A150" s="13"/>
      <c r="B150" s="13"/>
      <c r="C150" s="22" t="e">
        <f>POWER(C4-E150,2)+POWER(C6-F150,2)+POWER(C8-G150,2)</f>
        <v>#NUM!</v>
      </c>
      <c r="D150" s="27" t="s">
        <v>258</v>
      </c>
      <c r="E150" s="28">
        <v>2.7</v>
      </c>
      <c r="F150" s="28">
        <v>7.9</v>
      </c>
      <c r="G150" s="28">
        <v>0.6</v>
      </c>
      <c r="H150" s="25">
        <f t="shared" si="6"/>
        <v>-2.1</v>
      </c>
      <c r="I150" s="29">
        <f t="shared" si="7"/>
        <v>12.5</v>
      </c>
    </row>
    <row r="151" spans="1:9" hidden="1">
      <c r="A151" s="13"/>
      <c r="B151" s="13"/>
      <c r="C151" s="22" t="e">
        <f>POWER(C4-E151,2)+POWER(C6-F151,2)+POWER(C8-G151,2)</f>
        <v>#NUM!</v>
      </c>
      <c r="D151" s="27" t="s">
        <v>259</v>
      </c>
      <c r="E151" s="28">
        <v>1.6</v>
      </c>
      <c r="F151" s="28">
        <v>5.6</v>
      </c>
      <c r="G151" s="28">
        <v>2.2999999999999998</v>
      </c>
      <c r="H151" s="25">
        <f t="shared" si="6"/>
        <v>0.69999999999999973</v>
      </c>
      <c r="I151" s="29">
        <f t="shared" si="7"/>
        <v>7.2999999999999989</v>
      </c>
    </row>
    <row r="152" spans="1:9" hidden="1">
      <c r="A152" s="13"/>
      <c r="B152" s="13"/>
      <c r="C152" s="22" t="e">
        <f>POWER(C4-E152,2)+POWER(C6-F152,2)+POWER(C8-G152,2)</f>
        <v>#NUM!</v>
      </c>
      <c r="D152" s="27" t="s">
        <v>260</v>
      </c>
      <c r="E152" s="28">
        <v>4.2</v>
      </c>
      <c r="F152" s="28">
        <v>7.3</v>
      </c>
      <c r="G152" s="28">
        <v>0.8</v>
      </c>
      <c r="H152" s="25">
        <f t="shared" si="6"/>
        <v>-3.4000000000000004</v>
      </c>
      <c r="I152" s="29">
        <f t="shared" si="7"/>
        <v>9.6</v>
      </c>
    </row>
    <row r="153" spans="1:9" hidden="1">
      <c r="A153" s="13"/>
      <c r="B153" s="13"/>
      <c r="C153" s="22" t="e">
        <f>POWER(C4-E153,2)+POWER(C6-F153,2)+POWER(C8-G153,2)</f>
        <v>#NUM!</v>
      </c>
      <c r="D153" s="27" t="s">
        <v>261</v>
      </c>
      <c r="E153" s="28">
        <v>2.1</v>
      </c>
      <c r="F153" s="28">
        <v>6.4</v>
      </c>
      <c r="G153" s="28">
        <v>1.6</v>
      </c>
      <c r="H153" s="25">
        <f t="shared" si="6"/>
        <v>-0.5</v>
      </c>
      <c r="I153" s="29">
        <f t="shared" si="7"/>
        <v>9.1000000000000014</v>
      </c>
    </row>
    <row r="154" spans="1:9" hidden="1">
      <c r="A154" s="13"/>
      <c r="B154" s="13"/>
      <c r="C154" s="22" t="e">
        <f>POWER(C4-E154,2)+POWER(C6-F154,2)+POWER(C8-G154,2)</f>
        <v>#NUM!</v>
      </c>
      <c r="D154" s="27" t="s">
        <v>262</v>
      </c>
      <c r="E154" s="28">
        <v>2.6</v>
      </c>
      <c r="F154" s="28">
        <v>7</v>
      </c>
      <c r="G154" s="28">
        <v>1.2</v>
      </c>
      <c r="H154" s="25">
        <f t="shared" si="6"/>
        <v>-1.4000000000000001</v>
      </c>
      <c r="I154" s="29">
        <f t="shared" si="7"/>
        <v>10.199999999999999</v>
      </c>
    </row>
    <row r="155" spans="1:9" hidden="1">
      <c r="A155" s="13"/>
      <c r="B155" s="13"/>
      <c r="C155" s="22" t="e">
        <f>POWER(C4-E155,2)+POWER(C6-F155,2)+POWER(C8-G155,2)</f>
        <v>#NUM!</v>
      </c>
      <c r="D155" s="27" t="s">
        <v>263</v>
      </c>
      <c r="E155" s="28">
        <v>2.1</v>
      </c>
      <c r="F155" s="28">
        <v>5</v>
      </c>
      <c r="G155" s="28">
        <v>2.9</v>
      </c>
      <c r="H155" s="25">
        <f t="shared" si="6"/>
        <v>0.79999999999999982</v>
      </c>
      <c r="I155" s="29">
        <f t="shared" si="7"/>
        <v>5</v>
      </c>
    </row>
    <row r="156" spans="1:9" hidden="1">
      <c r="A156" s="13"/>
      <c r="B156" s="13"/>
      <c r="C156" s="22" t="e">
        <f>POWER(C4-E156,2)+POWER(C6-F156,2)+POWER(C8-G156,2)</f>
        <v>#NUM!</v>
      </c>
      <c r="D156" s="27" t="s">
        <v>264</v>
      </c>
      <c r="E156" s="28">
        <v>2.1</v>
      </c>
      <c r="F156" s="28">
        <v>5</v>
      </c>
      <c r="G156" s="28">
        <v>2.9</v>
      </c>
      <c r="H156" s="25">
        <f t="shared" si="6"/>
        <v>0.79999999999999982</v>
      </c>
      <c r="I156" s="29">
        <f t="shared" si="7"/>
        <v>5</v>
      </c>
    </row>
    <row r="157" spans="1:9" hidden="1">
      <c r="A157" s="13"/>
      <c r="B157" s="13"/>
      <c r="C157" s="22" t="e">
        <f>POWER(C4-E157,2)+POWER(C6-F157,2)+POWER(C8-G157,2)</f>
        <v>#NUM!</v>
      </c>
      <c r="D157" s="27" t="s">
        <v>265</v>
      </c>
      <c r="E157" s="28">
        <v>2.1</v>
      </c>
      <c r="F157" s="28">
        <v>5.0999999999999996</v>
      </c>
      <c r="G157" s="28">
        <v>2.8</v>
      </c>
      <c r="H157" s="25">
        <f t="shared" si="6"/>
        <v>0.69999999999999973</v>
      </c>
      <c r="I157" s="29">
        <f t="shared" si="7"/>
        <v>5.2999999999999989</v>
      </c>
    </row>
    <row r="158" spans="1:9" hidden="1">
      <c r="A158" s="13"/>
      <c r="B158" s="13"/>
      <c r="C158" s="22" t="e">
        <f>POWER(C4-E158,2)+POWER(C6-F158,2)+POWER(C8-G158,2)</f>
        <v>#NUM!</v>
      </c>
      <c r="D158" s="27" t="s">
        <v>266</v>
      </c>
      <c r="E158" s="28">
        <v>2.8</v>
      </c>
      <c r="F158" s="28">
        <v>5</v>
      </c>
      <c r="G158" s="28">
        <v>2.6</v>
      </c>
      <c r="H158" s="25">
        <f t="shared" si="6"/>
        <v>-0.19999999999999973</v>
      </c>
      <c r="I158" s="29">
        <f t="shared" si="7"/>
        <v>4.5999999999999996</v>
      </c>
    </row>
    <row r="159" spans="1:9" hidden="1">
      <c r="A159" s="13"/>
      <c r="B159" s="13"/>
      <c r="C159" s="22" t="e">
        <f>POWER(C4-E159,2)+POWER(C6-F159,2)+POWER(C8-G159,2)</f>
        <v>#NUM!</v>
      </c>
      <c r="D159" s="27" t="s">
        <v>267</v>
      </c>
      <c r="E159" s="28">
        <v>3.64</v>
      </c>
      <c r="F159" s="28">
        <v>4.6399999999999997</v>
      </c>
      <c r="G159" s="28">
        <v>2.96</v>
      </c>
      <c r="H159" s="25">
        <f t="shared" si="6"/>
        <v>-0.68000000000000016</v>
      </c>
      <c r="I159" s="29">
        <f t="shared" si="7"/>
        <v>2.6799999999999997</v>
      </c>
    </row>
    <row r="160" spans="1:9" hidden="1">
      <c r="A160" s="13"/>
      <c r="B160" s="13"/>
      <c r="C160" s="22" t="e">
        <f>POWER(C4-E160,2)+POWER(C6-F160,2)+POWER(C8-G160,2)</f>
        <v>#NUM!</v>
      </c>
      <c r="D160" s="27" t="s">
        <v>268</v>
      </c>
      <c r="E160" s="28">
        <v>3.88</v>
      </c>
      <c r="F160" s="28">
        <v>4.55</v>
      </c>
      <c r="G160" s="28">
        <v>3.24</v>
      </c>
      <c r="H160" s="25">
        <f t="shared" si="6"/>
        <v>-0.63999999999999968</v>
      </c>
      <c r="I160" s="29">
        <f t="shared" si="7"/>
        <v>1.9799999999999995</v>
      </c>
    </row>
    <row r="161" spans="1:9" hidden="1">
      <c r="A161" s="13"/>
      <c r="B161" s="13"/>
      <c r="C161" s="22" t="e">
        <f>POWER(C4-E161,2)+POWER(C6-F161,2)+POWER(C8-G161,2)</f>
        <v>#NUM!</v>
      </c>
      <c r="D161" s="27" t="s">
        <v>269</v>
      </c>
      <c r="E161" s="28">
        <v>2.5299999999999998</v>
      </c>
      <c r="F161" s="28">
        <v>4.41</v>
      </c>
      <c r="G161" s="28">
        <v>3.69</v>
      </c>
      <c r="H161" s="25">
        <f t="shared" ref="H161:H193" si="8">G161-E161</f>
        <v>1.1600000000000001</v>
      </c>
      <c r="I161" s="29">
        <f t="shared" ref="I161:I193" si="9">2*F161-(G161+E161)</f>
        <v>2.6000000000000005</v>
      </c>
    </row>
    <row r="162" spans="1:9" hidden="1">
      <c r="A162" s="13"/>
      <c r="B162" s="13"/>
      <c r="C162" s="22" t="e">
        <f>POWER(C4-E162,2)+POWER(C6-F162,2)+POWER(C8-G162,2)</f>
        <v>#NUM!</v>
      </c>
      <c r="D162" s="27" t="s">
        <v>270</v>
      </c>
      <c r="E162" s="28">
        <v>2.74</v>
      </c>
      <c r="F162" s="28">
        <v>4.62</v>
      </c>
      <c r="G162" s="28">
        <v>3.28</v>
      </c>
      <c r="H162" s="25">
        <f t="shared" si="8"/>
        <v>0.53999999999999959</v>
      </c>
      <c r="I162" s="29">
        <f t="shared" si="9"/>
        <v>3.2200000000000006</v>
      </c>
    </row>
    <row r="163" spans="1:9" hidden="1">
      <c r="A163" s="13"/>
      <c r="B163" s="13"/>
      <c r="C163" s="22" t="e">
        <f>POWER(C4-E163,2)+POWER(C6-F163,2)+POWER(C8-G163,2)</f>
        <v>#NUM!</v>
      </c>
      <c r="D163" s="27" t="s">
        <v>271</v>
      </c>
      <c r="E163" s="28">
        <v>2</v>
      </c>
      <c r="F163" s="28">
        <v>5.3</v>
      </c>
      <c r="G163" s="28">
        <v>2.4</v>
      </c>
      <c r="H163" s="25">
        <f t="shared" si="8"/>
        <v>0.39999999999999991</v>
      </c>
      <c r="I163" s="29">
        <f t="shared" si="9"/>
        <v>6.1999999999999993</v>
      </c>
    </row>
    <row r="164" spans="1:9" hidden="1">
      <c r="A164" s="13"/>
      <c r="B164" s="13"/>
      <c r="C164" s="22" t="e">
        <f>POWER(C4-E164,2)+POWER(C6-F164,2)+POWER(C8-G164,2)</f>
        <v>#NUM!</v>
      </c>
      <c r="D164" s="27" t="s">
        <v>272</v>
      </c>
      <c r="E164" s="28">
        <v>1.9</v>
      </c>
      <c r="F164" s="28">
        <v>5.5</v>
      </c>
      <c r="G164" s="28">
        <v>2.5</v>
      </c>
      <c r="H164" s="25">
        <f t="shared" si="8"/>
        <v>0.60000000000000009</v>
      </c>
      <c r="I164" s="29">
        <f t="shared" si="9"/>
        <v>6.6</v>
      </c>
    </row>
    <row r="165" spans="1:9" hidden="1">
      <c r="A165" s="13"/>
      <c r="B165" s="13"/>
      <c r="C165" s="22" t="e">
        <f>POWER(C4-E165,2)+POWER(C6-F165,2)+POWER(C8-G165,2)</f>
        <v>#NUM!</v>
      </c>
      <c r="D165" s="27" t="s">
        <v>273</v>
      </c>
      <c r="E165" s="28">
        <v>1.5</v>
      </c>
      <c r="F165" s="28">
        <v>5.2</v>
      </c>
      <c r="G165" s="28">
        <v>3.1</v>
      </c>
      <c r="H165" s="25">
        <f t="shared" si="8"/>
        <v>1.6</v>
      </c>
      <c r="I165" s="29">
        <f t="shared" si="9"/>
        <v>5.8000000000000007</v>
      </c>
    </row>
    <row r="166" spans="1:9" hidden="1">
      <c r="A166" s="13"/>
      <c r="B166" s="13"/>
      <c r="C166" s="22" t="e">
        <f>POWER(C4-E166,2)+POWER(C6-F166,2)+POWER(C8-G166,2)</f>
        <v>#NUM!</v>
      </c>
      <c r="D166" s="27" t="s">
        <v>274</v>
      </c>
      <c r="E166" s="28">
        <v>2.2000000000000002</v>
      </c>
      <c r="F166" s="28">
        <v>5.5</v>
      </c>
      <c r="G166" s="28">
        <v>2.5</v>
      </c>
      <c r="H166" s="25">
        <f t="shared" si="8"/>
        <v>0.29999999999999982</v>
      </c>
      <c r="I166" s="29">
        <f t="shared" si="9"/>
        <v>6.3</v>
      </c>
    </row>
    <row r="167" spans="1:9" hidden="1">
      <c r="A167" s="13"/>
      <c r="B167" s="13"/>
      <c r="C167" s="22" t="e">
        <f>POWER(C4-E167,2)+POWER(C6-F167,2)+POWER(C8-G167,2)</f>
        <v>#NUM!</v>
      </c>
      <c r="D167" s="27" t="s">
        <v>275</v>
      </c>
      <c r="E167" s="28">
        <v>2.2000000000000002</v>
      </c>
      <c r="F167" s="28">
        <v>5.2</v>
      </c>
      <c r="G167" s="28">
        <v>2.5</v>
      </c>
      <c r="H167" s="25">
        <f t="shared" si="8"/>
        <v>0.29999999999999982</v>
      </c>
      <c r="I167" s="29">
        <f t="shared" si="9"/>
        <v>5.7</v>
      </c>
    </row>
    <row r="168" spans="1:9" hidden="1">
      <c r="A168" s="13"/>
      <c r="B168" s="13"/>
      <c r="C168" s="22" t="e">
        <f>POWER(C4-E168,2)+POWER(C6-F168,2)+POWER(C8-G168,2)</f>
        <v>#NUM!</v>
      </c>
      <c r="D168" s="27" t="s">
        <v>276</v>
      </c>
      <c r="E168" s="28">
        <v>2</v>
      </c>
      <c r="F168" s="28">
        <v>5.2</v>
      </c>
      <c r="G168" s="28">
        <v>3</v>
      </c>
      <c r="H168" s="25">
        <f t="shared" si="8"/>
        <v>1</v>
      </c>
      <c r="I168" s="29">
        <f t="shared" si="9"/>
        <v>5.4</v>
      </c>
    </row>
    <row r="169" spans="1:9" hidden="1">
      <c r="A169" s="13"/>
      <c r="B169" s="13"/>
      <c r="C169" s="22" t="e">
        <f>POWER(C4-E169,2)+POWER(C6-F169,2)+POWER(C8-G169,2)</f>
        <v>#NUM!</v>
      </c>
      <c r="D169" s="27" t="s">
        <v>277</v>
      </c>
      <c r="E169" s="28">
        <v>2.1</v>
      </c>
      <c r="F169" s="28">
        <v>5.3</v>
      </c>
      <c r="G169" s="28">
        <v>2.4</v>
      </c>
      <c r="H169" s="25">
        <f t="shared" si="8"/>
        <v>0.29999999999999982</v>
      </c>
      <c r="I169" s="29">
        <f t="shared" si="9"/>
        <v>6.1</v>
      </c>
    </row>
    <row r="170" spans="1:9" hidden="1">
      <c r="A170" s="13"/>
      <c r="B170" s="13"/>
      <c r="C170" s="22" t="e">
        <f>POWER(C4-E170,2)+POWER(C6-F170,2)+POWER(C8-G170,2)</f>
        <v>#NUM!</v>
      </c>
      <c r="D170" s="27" t="s">
        <v>278</v>
      </c>
      <c r="E170" s="28">
        <v>2.2999999999999998</v>
      </c>
      <c r="F170" s="28">
        <v>5</v>
      </c>
      <c r="G170" s="28">
        <v>2.7</v>
      </c>
      <c r="H170" s="25">
        <f t="shared" si="8"/>
        <v>0.40000000000000036</v>
      </c>
      <c r="I170" s="29">
        <f t="shared" si="9"/>
        <v>5</v>
      </c>
    </row>
    <row r="171" spans="1:9" hidden="1">
      <c r="A171" s="13"/>
      <c r="B171" s="13"/>
      <c r="C171" s="22" t="e">
        <f>POWER(C4-E171,2)+POWER(C6-F171,2)+POWER(C8-G171,2)</f>
        <v>#NUM!</v>
      </c>
      <c r="D171" s="27" t="s">
        <v>279</v>
      </c>
      <c r="E171" s="28">
        <v>2.2999999999999998</v>
      </c>
      <c r="F171" s="28">
        <v>5.6</v>
      </c>
      <c r="G171" s="28">
        <v>2.4</v>
      </c>
      <c r="H171" s="25">
        <f t="shared" si="8"/>
        <v>0.10000000000000009</v>
      </c>
      <c r="I171" s="29">
        <f t="shared" si="9"/>
        <v>6.5</v>
      </c>
    </row>
    <row r="172" spans="1:9" hidden="1">
      <c r="A172" s="13"/>
      <c r="B172" s="13"/>
      <c r="C172" s="22" t="e">
        <f>POWER(C4-E172,2)+POWER(C6-F172,2)+POWER(C8-G172,2)</f>
        <v>#NUM!</v>
      </c>
      <c r="D172" s="27" t="s">
        <v>280</v>
      </c>
      <c r="E172" s="28">
        <v>3.51</v>
      </c>
      <c r="F172" s="28">
        <v>4.54</v>
      </c>
      <c r="G172" s="28">
        <v>2.81</v>
      </c>
      <c r="H172" s="25">
        <f t="shared" si="8"/>
        <v>-0.69999999999999973</v>
      </c>
      <c r="I172" s="29">
        <f t="shared" si="9"/>
        <v>2.76</v>
      </c>
    </row>
    <row r="173" spans="1:9" hidden="1">
      <c r="A173" s="13"/>
      <c r="B173" s="13"/>
      <c r="C173" s="22" t="e">
        <f>POWER(C4-E173,2)+POWER(C6-F173,2)+POWER(C8-G173,2)</f>
        <v>#NUM!</v>
      </c>
      <c r="D173" s="27" t="s">
        <v>281</v>
      </c>
      <c r="E173" s="28">
        <v>2.63</v>
      </c>
      <c r="F173" s="28">
        <v>4.5199999999999996</v>
      </c>
      <c r="G173" s="28">
        <v>3.42</v>
      </c>
      <c r="H173" s="25">
        <f t="shared" si="8"/>
        <v>0.79</v>
      </c>
      <c r="I173" s="29">
        <f t="shared" si="9"/>
        <v>2.9899999999999993</v>
      </c>
    </row>
    <row r="174" spans="1:9" hidden="1">
      <c r="A174" s="13"/>
      <c r="B174" s="13"/>
      <c r="C174" s="22" t="e">
        <f>POWER(C4-E174,2)+POWER(C6-F174,2)+POWER(C8-G174,2)</f>
        <v>#NUM!</v>
      </c>
      <c r="D174" s="27" t="s">
        <v>282</v>
      </c>
      <c r="E174" s="28">
        <v>2.87</v>
      </c>
      <c r="F174" s="28">
        <v>4.47</v>
      </c>
      <c r="G174" s="28">
        <v>3.43</v>
      </c>
      <c r="H174" s="25">
        <f t="shared" si="8"/>
        <v>0.56000000000000005</v>
      </c>
      <c r="I174" s="29">
        <f t="shared" si="9"/>
        <v>2.6399999999999988</v>
      </c>
    </row>
    <row r="175" spans="1:9" hidden="1">
      <c r="A175" s="13"/>
      <c r="B175" s="13"/>
      <c r="C175" s="22" t="e">
        <f>POWER(C4-E175,2)+POWER(C6-F175,2)+POWER(C8-G175,2)</f>
        <v>#NUM!</v>
      </c>
      <c r="D175" s="27" t="s">
        <v>283</v>
      </c>
      <c r="E175" s="28">
        <v>3.02</v>
      </c>
      <c r="F175" s="28">
        <v>4.47</v>
      </c>
      <c r="G175" s="28">
        <v>3.02</v>
      </c>
      <c r="H175" s="25">
        <f t="shared" si="8"/>
        <v>0</v>
      </c>
      <c r="I175" s="29">
        <f t="shared" si="9"/>
        <v>2.8999999999999995</v>
      </c>
    </row>
    <row r="176" spans="1:9" hidden="1">
      <c r="A176" s="13"/>
      <c r="B176" s="13"/>
      <c r="C176" s="22" t="e">
        <f>POWER(C4-E176,2)+POWER(C6-F176,2)+POWER(C8-G176,2)</f>
        <v>#NUM!</v>
      </c>
      <c r="D176" s="27" t="s">
        <v>284</v>
      </c>
      <c r="E176" s="28">
        <v>3.14</v>
      </c>
      <c r="F176" s="28">
        <v>4.43</v>
      </c>
      <c r="G176" s="28">
        <v>3.06</v>
      </c>
      <c r="H176" s="25">
        <f t="shared" si="8"/>
        <v>-8.0000000000000071E-2</v>
      </c>
      <c r="I176" s="29">
        <f t="shared" si="9"/>
        <v>2.6599999999999993</v>
      </c>
    </row>
    <row r="177" spans="1:9" hidden="1">
      <c r="A177" s="13"/>
      <c r="B177" s="13"/>
      <c r="C177" s="22" t="e">
        <f>POWER(C4-E177,2)+POWER(C6-F177,2)+POWER(C8-G177,2)</f>
        <v>#NUM!</v>
      </c>
      <c r="D177" s="27" t="s">
        <v>285</v>
      </c>
      <c r="E177" s="28">
        <v>4.01</v>
      </c>
      <c r="F177" s="28">
        <v>4.99</v>
      </c>
      <c r="G177" s="28">
        <v>2.2400000000000002</v>
      </c>
      <c r="H177" s="25">
        <f t="shared" si="8"/>
        <v>-1.7699999999999996</v>
      </c>
      <c r="I177" s="29">
        <f t="shared" si="9"/>
        <v>3.7300000000000004</v>
      </c>
    </row>
    <row r="178" spans="1:9" hidden="1">
      <c r="A178" s="13"/>
      <c r="B178" s="13"/>
      <c r="C178" s="22" t="e">
        <f>POWER(C4-E178,2)+POWER(C6-F178,2)+POWER(C8-G178,2)</f>
        <v>#NUM!</v>
      </c>
      <c r="D178" s="27" t="s">
        <v>286</v>
      </c>
      <c r="E178" s="28">
        <v>3.66</v>
      </c>
      <c r="F178" s="28">
        <v>5.92</v>
      </c>
      <c r="G178" s="28">
        <v>1.42</v>
      </c>
      <c r="H178" s="25">
        <f t="shared" si="8"/>
        <v>-2.2400000000000002</v>
      </c>
      <c r="I178" s="29">
        <f t="shared" si="9"/>
        <v>6.76</v>
      </c>
    </row>
    <row r="179" spans="1:9" hidden="1">
      <c r="A179" s="13"/>
      <c r="B179" s="13"/>
      <c r="C179" s="22" t="e">
        <f>POWER(C4-E179,2)+POWER(C6-F179,2)+POWER(C8-G179,2)</f>
        <v>#NUM!</v>
      </c>
      <c r="D179" s="27" t="s">
        <v>287</v>
      </c>
      <c r="E179" s="28">
        <v>3.2</v>
      </c>
      <c r="F179" s="28">
        <v>5.9</v>
      </c>
      <c r="G179" s="28">
        <v>1.8</v>
      </c>
      <c r="H179" s="25">
        <f t="shared" si="8"/>
        <v>-1.4000000000000001</v>
      </c>
      <c r="I179" s="29">
        <f t="shared" si="9"/>
        <v>6.8000000000000007</v>
      </c>
    </row>
    <row r="180" spans="1:9" hidden="1">
      <c r="A180" s="13"/>
      <c r="B180" s="13"/>
      <c r="C180" s="22" t="e">
        <f>POWER(C4-E180,2)+POWER(C6-F180,2)+POWER(C8-G180,2)</f>
        <v>#NUM!</v>
      </c>
      <c r="D180" s="39" t="s">
        <v>394</v>
      </c>
      <c r="E180" s="40">
        <v>2.5</v>
      </c>
      <c r="F180" s="40">
        <v>6.2</v>
      </c>
      <c r="G180" s="40">
        <v>2.2999999999999998</v>
      </c>
      <c r="H180" s="41">
        <f t="shared" si="8"/>
        <v>-0.20000000000000018</v>
      </c>
      <c r="I180" s="41">
        <f t="shared" si="9"/>
        <v>7.6000000000000005</v>
      </c>
    </row>
    <row r="181" spans="1:9" hidden="1">
      <c r="A181" s="13"/>
      <c r="B181" s="13"/>
      <c r="C181" s="22" t="e">
        <f>POWER(C4-E181,2)+POWER(C6-F181,2)+POWER(C8-G181,2)</f>
        <v>#NUM!</v>
      </c>
      <c r="D181" s="39" t="s">
        <v>444</v>
      </c>
      <c r="E181" s="40">
        <v>4.8</v>
      </c>
      <c r="F181" s="40">
        <v>5.5</v>
      </c>
      <c r="G181" s="40">
        <v>0.7</v>
      </c>
      <c r="H181" s="41">
        <f t="shared" si="8"/>
        <v>-4.0999999999999996</v>
      </c>
      <c r="I181" s="41">
        <f t="shared" si="9"/>
        <v>5.5</v>
      </c>
    </row>
    <row r="182" spans="1:9" hidden="1">
      <c r="A182" s="13"/>
      <c r="B182" s="13"/>
      <c r="C182" s="22" t="e">
        <f>POWER(C4-E182,2)+POWER(C6-F182,2)+POWER(C8-G182,2)</f>
        <v>#NUM!</v>
      </c>
      <c r="D182" s="199" t="s">
        <v>445</v>
      </c>
      <c r="E182" s="40">
        <v>3.2</v>
      </c>
      <c r="F182" s="40">
        <v>4.3</v>
      </c>
      <c r="G182" s="40">
        <v>1.7</v>
      </c>
      <c r="H182" s="41">
        <f t="shared" si="8"/>
        <v>-1.5000000000000002</v>
      </c>
      <c r="I182" s="41">
        <f t="shared" si="9"/>
        <v>3.6999999999999993</v>
      </c>
    </row>
    <row r="183" spans="1:9" hidden="1">
      <c r="A183" s="13"/>
      <c r="B183" s="13"/>
      <c r="C183" s="22" t="e">
        <f>POWER(C4-E183,2)+POWER(C6-F183,2)+POWER(C8-G183,2)</f>
        <v>#NUM!</v>
      </c>
      <c r="D183" s="199" t="s">
        <v>446</v>
      </c>
      <c r="E183" s="40">
        <v>2.2999999999999998</v>
      </c>
      <c r="F183" s="40">
        <v>4.3</v>
      </c>
      <c r="G183" s="40">
        <v>2.2999999999999998</v>
      </c>
      <c r="H183" s="41">
        <f t="shared" si="8"/>
        <v>0</v>
      </c>
      <c r="I183" s="41">
        <f t="shared" si="9"/>
        <v>4</v>
      </c>
    </row>
    <row r="184" spans="1:9" hidden="1">
      <c r="A184" s="13"/>
      <c r="B184" s="13"/>
      <c r="C184" s="22" t="e">
        <f>POWER(C4-E184,2)+POWER(C6-F184,2)+POWER(C8-G184,2)</f>
        <v>#NUM!</v>
      </c>
      <c r="D184" s="199" t="s">
        <v>447</v>
      </c>
      <c r="E184" s="40">
        <v>4.9000000000000004</v>
      </c>
      <c r="F184" s="40">
        <v>8.1</v>
      </c>
      <c r="G184" s="40">
        <v>0.2</v>
      </c>
      <c r="H184" s="41">
        <f t="shared" si="8"/>
        <v>-4.7</v>
      </c>
      <c r="I184" s="41">
        <f t="shared" si="9"/>
        <v>11.099999999999998</v>
      </c>
    </row>
    <row r="185" spans="1:9" hidden="1">
      <c r="A185" s="13"/>
      <c r="B185" s="13"/>
      <c r="C185" s="22" t="e">
        <f>POWER(C4-E185,2)+POWER(C6-F185,2)+POWER(C8-G185,2)</f>
        <v>#NUM!</v>
      </c>
      <c r="D185" s="199" t="s">
        <v>448</v>
      </c>
      <c r="E185" s="40">
        <v>4.2</v>
      </c>
      <c r="F185" s="40">
        <v>7.9</v>
      </c>
      <c r="G185" s="40">
        <v>7.0000000000000007E-2</v>
      </c>
      <c r="H185" s="41">
        <f t="shared" si="8"/>
        <v>-4.13</v>
      </c>
      <c r="I185" s="41">
        <f t="shared" si="9"/>
        <v>11.530000000000001</v>
      </c>
    </row>
    <row r="186" spans="1:9" hidden="1">
      <c r="A186" s="13"/>
      <c r="B186" s="13"/>
      <c r="C186" s="22" t="e">
        <f>POWER(C4-E186,2)+POWER(C6-F186,2)+POWER(C8-G186,2)</f>
        <v>#NUM!</v>
      </c>
      <c r="D186" s="199" t="s">
        <v>449</v>
      </c>
      <c r="E186" s="40">
        <v>3.2</v>
      </c>
      <c r="F186" s="40">
        <v>6.5</v>
      </c>
      <c r="G186" s="40">
        <v>1.3</v>
      </c>
      <c r="H186" s="41">
        <f t="shared" si="8"/>
        <v>-1.9000000000000001</v>
      </c>
      <c r="I186" s="41">
        <f t="shared" si="9"/>
        <v>8.5</v>
      </c>
    </row>
    <row r="187" spans="1:9" hidden="1">
      <c r="A187" s="13"/>
      <c r="B187" s="13"/>
      <c r="C187" s="22" t="e">
        <f>POWER(C4-E187,2)+POWER(C6-F187,2)+POWER(C8-G187,2)</f>
        <v>#NUM!</v>
      </c>
      <c r="D187" s="199" t="s">
        <v>450</v>
      </c>
      <c r="E187" s="40">
        <v>3.2</v>
      </c>
      <c r="F187" s="40">
        <v>6.4</v>
      </c>
      <c r="G187" s="40">
        <v>1.3</v>
      </c>
      <c r="H187" s="41">
        <f t="shared" si="8"/>
        <v>-1.9000000000000001</v>
      </c>
      <c r="I187" s="41">
        <f t="shared" si="9"/>
        <v>8.3000000000000007</v>
      </c>
    </row>
    <row r="188" spans="1:9" hidden="1">
      <c r="A188" s="13"/>
      <c r="B188" s="13"/>
      <c r="C188" s="22" t="e">
        <f>POWER(C4-E188,2)+POWER(C6-F188,2)+POWER(C8-G188,2)</f>
        <v>#NUM!</v>
      </c>
      <c r="D188" s="199" t="s">
        <v>451</v>
      </c>
      <c r="E188" s="40">
        <v>2.7</v>
      </c>
      <c r="F188" s="40">
        <v>6.6</v>
      </c>
      <c r="G188" s="40">
        <v>1</v>
      </c>
      <c r="H188" s="41">
        <f t="shared" si="8"/>
        <v>-1.7000000000000002</v>
      </c>
      <c r="I188" s="41">
        <f t="shared" si="9"/>
        <v>9.5</v>
      </c>
    </row>
    <row r="189" spans="1:9" hidden="1">
      <c r="A189" s="13"/>
      <c r="B189" s="13"/>
      <c r="C189" s="22" t="e">
        <f>POWER(C4-E189,2)+POWER(C6-F189,2)+POWER(C8-G189,2)</f>
        <v>#NUM!</v>
      </c>
      <c r="D189" s="199" t="s">
        <v>452</v>
      </c>
      <c r="E189" s="40">
        <v>3</v>
      </c>
      <c r="F189" s="40">
        <v>6.1</v>
      </c>
      <c r="G189" s="40">
        <v>1.5</v>
      </c>
      <c r="H189" s="41">
        <f t="shared" si="8"/>
        <v>-1.5</v>
      </c>
      <c r="I189" s="41">
        <f t="shared" si="9"/>
        <v>7.6999999999999993</v>
      </c>
    </row>
    <row r="190" spans="1:9" hidden="1">
      <c r="A190" s="13"/>
      <c r="B190" s="13"/>
      <c r="C190" s="22" t="e">
        <f>POWER(C4-E190,2)+POWER(C6-F190,2)+POWER(C8-G190,2)</f>
        <v>#NUM!</v>
      </c>
      <c r="D190" s="199" t="s">
        <v>453</v>
      </c>
      <c r="E190" s="40">
        <v>2.7</v>
      </c>
      <c r="F190" s="40">
        <v>6.5</v>
      </c>
      <c r="G190" s="40">
        <v>0.08</v>
      </c>
      <c r="H190" s="41">
        <f t="shared" si="8"/>
        <v>-2.62</v>
      </c>
      <c r="I190" s="41">
        <f t="shared" si="9"/>
        <v>10.219999999999999</v>
      </c>
    </row>
    <row r="191" spans="1:9" hidden="1">
      <c r="A191" s="13"/>
      <c r="B191" s="13"/>
      <c r="C191" s="22" t="e">
        <f>POWER(C4-E191,2)+POWER(C6-F191,2)+POWER(C8-G191,2)</f>
        <v>#NUM!</v>
      </c>
      <c r="D191" s="199" t="s">
        <v>454</v>
      </c>
      <c r="E191" s="40">
        <v>2.2999999999999998</v>
      </c>
      <c r="F191" s="40">
        <v>6.2</v>
      </c>
      <c r="G191" s="40">
        <v>1.7</v>
      </c>
      <c r="H191" s="41">
        <f t="shared" si="8"/>
        <v>-0.59999999999999987</v>
      </c>
      <c r="I191" s="41">
        <f t="shared" si="9"/>
        <v>8.4</v>
      </c>
    </row>
    <row r="192" spans="1:9" hidden="1">
      <c r="A192" s="13"/>
      <c r="B192" s="13"/>
      <c r="C192" s="22" t="e">
        <f>POWER(C4-E192,2)+POWER(C6-F192,2)+POWER(C8-G192,2)</f>
        <v>#NUM!</v>
      </c>
      <c r="D192" s="199" t="s">
        <v>455</v>
      </c>
      <c r="E192" s="40">
        <v>2.2999999999999998</v>
      </c>
      <c r="F192" s="40">
        <v>5.6</v>
      </c>
      <c r="G192" s="40">
        <v>2</v>
      </c>
      <c r="H192" s="41">
        <f t="shared" si="8"/>
        <v>-0.29999999999999982</v>
      </c>
      <c r="I192" s="41">
        <f t="shared" si="9"/>
        <v>6.8999999999999995</v>
      </c>
    </row>
    <row r="193" spans="1:9" hidden="1">
      <c r="A193" s="13"/>
      <c r="B193" s="13"/>
      <c r="C193" s="22" t="e">
        <f>POWER(C4-E193,2)+POWER(C6-F193,2)+POWER(C8-G193,2)</f>
        <v>#NUM!</v>
      </c>
      <c r="D193" s="199" t="s">
        <v>456</v>
      </c>
      <c r="E193" s="40">
        <v>3.3</v>
      </c>
      <c r="F193" s="40">
        <v>6.8</v>
      </c>
      <c r="G193" s="40">
        <v>1.1000000000000001</v>
      </c>
      <c r="H193" s="41">
        <f t="shared" si="8"/>
        <v>-2.1999999999999997</v>
      </c>
      <c r="I193" s="41">
        <f t="shared" si="9"/>
        <v>9.1999999999999993</v>
      </c>
    </row>
    <row r="194" spans="1:9" hidden="1">
      <c r="A194" s="13"/>
      <c r="B194" s="13"/>
      <c r="C194" s="22" t="e">
        <f>POWER(C4-E194,2)+POWER(C6-F194,2)+POWER(C8-G194,2)</f>
        <v>#NUM!</v>
      </c>
      <c r="D194" s="27" t="s">
        <v>288</v>
      </c>
      <c r="E194" s="28">
        <v>3.12</v>
      </c>
      <c r="F194" s="28">
        <v>4.95</v>
      </c>
      <c r="G194" s="28">
        <v>2.74</v>
      </c>
      <c r="H194" s="25">
        <f t="shared" ref="H194:H222" si="10">G194-E194</f>
        <v>-0.37999999999999989</v>
      </c>
      <c r="I194" s="29">
        <f t="shared" ref="I194:I222" si="11">2*F194-(G194+E194)</f>
        <v>4.04</v>
      </c>
    </row>
    <row r="195" spans="1:9" hidden="1">
      <c r="A195" s="13"/>
      <c r="B195" s="13"/>
      <c r="C195" s="22" t="e">
        <f>POWER(C4-E195,2)+POWER(C6-F195,2)+POWER(C8-G195,2)</f>
        <v>#NUM!</v>
      </c>
      <c r="D195" s="27" t="s">
        <v>289</v>
      </c>
      <c r="E195" s="28">
        <v>3.31</v>
      </c>
      <c r="F195" s="28">
        <v>4.58</v>
      </c>
      <c r="G195" s="28">
        <v>3.43</v>
      </c>
      <c r="H195" s="25">
        <f t="shared" si="10"/>
        <v>0.12000000000000011</v>
      </c>
      <c r="I195" s="29">
        <f t="shared" si="11"/>
        <v>2.42</v>
      </c>
    </row>
    <row r="196" spans="1:9" hidden="1">
      <c r="A196" s="13"/>
      <c r="B196" s="13"/>
      <c r="C196" s="22" t="e">
        <f>POWER(C4-E196,2)+POWER(C6-F196,2)+POWER(C8-G196,2)</f>
        <v>#NUM!</v>
      </c>
      <c r="D196" s="27" t="s">
        <v>290</v>
      </c>
      <c r="E196" s="28">
        <v>3.46</v>
      </c>
      <c r="F196" s="28">
        <v>4.7300000000000004</v>
      </c>
      <c r="G196" s="28">
        <v>3.12</v>
      </c>
      <c r="H196" s="25">
        <f t="shared" si="10"/>
        <v>-0.33999999999999986</v>
      </c>
      <c r="I196" s="29">
        <f t="shared" si="11"/>
        <v>2.8800000000000008</v>
      </c>
    </row>
    <row r="197" spans="1:9" hidden="1">
      <c r="A197" s="13"/>
      <c r="B197" s="13"/>
      <c r="C197" s="22" t="e">
        <f>POWER(C4-E197,2)+POWER(C6-F197,2)+POWER(C8-G197,2)</f>
        <v>#NUM!</v>
      </c>
      <c r="D197" s="27" t="s">
        <v>291</v>
      </c>
      <c r="E197" s="28">
        <v>3.92</v>
      </c>
      <c r="F197" s="28">
        <v>5.33</v>
      </c>
      <c r="G197" s="28">
        <v>2.2400000000000002</v>
      </c>
      <c r="H197" s="25">
        <f t="shared" si="10"/>
        <v>-1.6799999999999997</v>
      </c>
      <c r="I197" s="29">
        <f t="shared" si="11"/>
        <v>4.5</v>
      </c>
    </row>
    <row r="198" spans="1:9" hidden="1">
      <c r="A198" s="13"/>
      <c r="B198" s="13"/>
      <c r="C198" s="22" t="e">
        <f>POWER(C4-E198,2)+POWER(C6-F198,2)+POWER(C8-G198,2)</f>
        <v>#NUM!</v>
      </c>
      <c r="D198" s="27" t="s">
        <v>292</v>
      </c>
      <c r="E198" s="28">
        <v>2.75</v>
      </c>
      <c r="F198" s="28">
        <v>4.83</v>
      </c>
      <c r="G198" s="28">
        <v>3.12</v>
      </c>
      <c r="H198" s="25">
        <f t="shared" si="10"/>
        <v>0.37000000000000011</v>
      </c>
      <c r="I198" s="29">
        <f t="shared" si="11"/>
        <v>3.79</v>
      </c>
    </row>
    <row r="199" spans="1:9" hidden="1">
      <c r="A199" s="13"/>
      <c r="B199" s="13"/>
      <c r="C199" s="22" t="e">
        <f>POWER(C4-E199,2)+POWER(C6-F199,2)+POWER(C8-G199,2)</f>
        <v>#NUM!</v>
      </c>
      <c r="D199" s="27" t="s">
        <v>293</v>
      </c>
      <c r="E199" s="28">
        <v>2.17</v>
      </c>
      <c r="F199" s="28">
        <v>4.9000000000000004</v>
      </c>
      <c r="G199" s="28">
        <v>3.14</v>
      </c>
      <c r="H199" s="25">
        <f t="shared" si="10"/>
        <v>0.9700000000000002</v>
      </c>
      <c r="I199" s="29">
        <f t="shared" si="11"/>
        <v>4.49</v>
      </c>
    </row>
    <row r="200" spans="1:9" hidden="1">
      <c r="A200" s="13"/>
      <c r="B200" s="13"/>
      <c r="C200" s="22" t="e">
        <f>POWER(C4-E200,2)+POWER(C6-F200,2)+POWER(C8-G200,2)</f>
        <v>#NUM!</v>
      </c>
      <c r="D200" s="27" t="s">
        <v>294</v>
      </c>
      <c r="E200" s="28">
        <v>2.5</v>
      </c>
      <c r="F200" s="28">
        <v>5.2</v>
      </c>
      <c r="G200" s="28">
        <v>2.8</v>
      </c>
      <c r="H200" s="25">
        <f t="shared" si="10"/>
        <v>0.29999999999999982</v>
      </c>
      <c r="I200" s="29">
        <f t="shared" si="11"/>
        <v>5.1000000000000005</v>
      </c>
    </row>
    <row r="201" spans="1:9" hidden="1">
      <c r="A201" s="13"/>
      <c r="B201" s="13"/>
      <c r="C201" s="22" t="e">
        <f>POWER(C4-E201,2)+POWER(C6-F201,2)+POWER(C8-G201,2)</f>
        <v>#NUM!</v>
      </c>
      <c r="D201" s="27" t="s">
        <v>295</v>
      </c>
      <c r="E201" s="28">
        <v>2.2000000000000002</v>
      </c>
      <c r="F201" s="28">
        <v>4.5999999999999996</v>
      </c>
      <c r="G201" s="28">
        <v>3</v>
      </c>
      <c r="H201" s="25">
        <f t="shared" si="10"/>
        <v>0.79999999999999982</v>
      </c>
      <c r="I201" s="29">
        <f t="shared" si="11"/>
        <v>3.9999999999999991</v>
      </c>
    </row>
    <row r="202" spans="1:9" hidden="1">
      <c r="A202" s="13"/>
      <c r="B202" s="13"/>
      <c r="C202" s="22" t="e">
        <f>POWER(C4-E202,2)+POWER(C6-F202,2)+POWER(C8-G202,2)</f>
        <v>#NUM!</v>
      </c>
      <c r="D202" s="43" t="s">
        <v>415</v>
      </c>
      <c r="E202" s="45">
        <v>3.5</v>
      </c>
      <c r="F202" s="45">
        <v>3.6</v>
      </c>
      <c r="G202" s="45">
        <v>2.7</v>
      </c>
      <c r="H202" s="25">
        <f t="shared" si="10"/>
        <v>-0.79999999999999982</v>
      </c>
      <c r="I202" s="29">
        <f t="shared" si="11"/>
        <v>1</v>
      </c>
    </row>
    <row r="203" spans="1:9" hidden="1">
      <c r="A203" s="13"/>
      <c r="B203" s="13"/>
      <c r="C203" s="22" t="e">
        <f>POWER(C4-E203,2)+POWER(C6-F203,2)+POWER(C8-G203,2)</f>
        <v>#NUM!</v>
      </c>
      <c r="D203" s="44" t="s">
        <v>416</v>
      </c>
      <c r="E203" s="46">
        <v>2.2999999999999998</v>
      </c>
      <c r="F203" s="46">
        <v>4.4000000000000004</v>
      </c>
      <c r="G203" s="46">
        <v>2.9</v>
      </c>
      <c r="H203" s="25">
        <f t="shared" si="10"/>
        <v>0.60000000000000009</v>
      </c>
      <c r="I203" s="29">
        <f t="shared" si="11"/>
        <v>3.6000000000000014</v>
      </c>
    </row>
    <row r="204" spans="1:9" hidden="1">
      <c r="A204" s="13"/>
      <c r="B204" s="13"/>
      <c r="C204" s="22" t="e">
        <f>POWER(C4-E204,2)+POWER(C6-F204,2)+POWER(C8-G204,2)</f>
        <v>#NUM!</v>
      </c>
      <c r="D204" s="43" t="s">
        <v>417</v>
      </c>
      <c r="E204" s="45">
        <v>4.2699999999999996</v>
      </c>
      <c r="F204" s="45">
        <v>4.4000000000000004</v>
      </c>
      <c r="G204" s="45">
        <v>4.8899999999999997</v>
      </c>
      <c r="H204" s="25">
        <f t="shared" si="10"/>
        <v>0.62000000000000011</v>
      </c>
      <c r="I204" s="29">
        <f t="shared" si="11"/>
        <v>-0.35999999999999943</v>
      </c>
    </row>
    <row r="205" spans="1:9" hidden="1">
      <c r="A205" s="13"/>
      <c r="B205" s="13"/>
      <c r="C205" s="22" t="e">
        <f>POWER(C4-E205,2)+POWER(C6-F205,2)+POWER(C8-G205,2)</f>
        <v>#NUM!</v>
      </c>
      <c r="D205" s="43" t="s">
        <v>418</v>
      </c>
      <c r="E205" s="45">
        <v>4.38</v>
      </c>
      <c r="F205" s="45">
        <v>4.28</v>
      </c>
      <c r="G205" s="45">
        <v>3.04</v>
      </c>
      <c r="H205" s="25">
        <f t="shared" si="10"/>
        <v>-1.3399999999999999</v>
      </c>
      <c r="I205" s="29">
        <f t="shared" si="11"/>
        <v>1.1400000000000006</v>
      </c>
    </row>
    <row r="206" spans="1:9" hidden="1">
      <c r="A206" s="13"/>
      <c r="B206" s="13"/>
      <c r="C206" s="22" t="e">
        <f>POWER(C4-E206,2)+POWER(C6-F206,2)+POWER(C8-G206,2)</f>
        <v>#NUM!</v>
      </c>
      <c r="D206" s="44" t="s">
        <v>419</v>
      </c>
      <c r="E206" s="46">
        <v>2.33</v>
      </c>
      <c r="F206" s="46">
        <v>4.6399999999999997</v>
      </c>
      <c r="G206" s="46">
        <v>3.85</v>
      </c>
      <c r="H206" s="25">
        <f t="shared" si="10"/>
        <v>1.52</v>
      </c>
      <c r="I206" s="29">
        <f t="shared" si="11"/>
        <v>3.0999999999999996</v>
      </c>
    </row>
    <row r="207" spans="1:9" hidden="1">
      <c r="A207" s="13"/>
      <c r="B207" s="13"/>
      <c r="C207" s="22" t="e">
        <f>POWER(C4-E207,2)+POWER(C6-F207,2)+POWER(C8-G207,2)</f>
        <v>#NUM!</v>
      </c>
      <c r="D207" s="44" t="s">
        <v>420</v>
      </c>
      <c r="E207" s="46">
        <v>3.76</v>
      </c>
      <c r="F207" s="46">
        <v>4.97</v>
      </c>
      <c r="G207" s="46">
        <v>3.27</v>
      </c>
      <c r="H207" s="25">
        <f t="shared" si="10"/>
        <v>-0.48999999999999977</v>
      </c>
      <c r="I207" s="29">
        <f t="shared" si="11"/>
        <v>2.91</v>
      </c>
    </row>
    <row r="208" spans="1:9" hidden="1">
      <c r="A208" s="13"/>
      <c r="B208" s="13"/>
      <c r="C208" s="22" t="e">
        <f>POWER(C4-E208,2)+POWER(C6-F208,2)+POWER(C8-G208,2)</f>
        <v>#NUM!</v>
      </c>
      <c r="D208" s="27" t="s">
        <v>296</v>
      </c>
      <c r="E208" s="28">
        <v>3.5</v>
      </c>
      <c r="F208" s="28">
        <v>3.9</v>
      </c>
      <c r="G208" s="28">
        <v>2.5</v>
      </c>
      <c r="H208" s="25">
        <f t="shared" si="10"/>
        <v>-1</v>
      </c>
      <c r="I208" s="29">
        <f t="shared" si="11"/>
        <v>1.7999999999999998</v>
      </c>
    </row>
    <row r="209" spans="1:9" hidden="1">
      <c r="A209" s="13"/>
      <c r="B209" s="13"/>
      <c r="C209" s="22" t="e">
        <f>POWER(C4-E209,2)+POWER(C6-F209,2)+POWER(C8-G209,2)</f>
        <v>#NUM!</v>
      </c>
      <c r="D209" s="27" t="s">
        <v>297</v>
      </c>
      <c r="E209" s="28">
        <v>1.9</v>
      </c>
      <c r="F209" s="28">
        <v>5.5</v>
      </c>
      <c r="G209" s="28">
        <v>2.7</v>
      </c>
      <c r="H209" s="25">
        <f t="shared" si="10"/>
        <v>0.80000000000000027</v>
      </c>
      <c r="I209" s="29">
        <f t="shared" si="11"/>
        <v>6.4</v>
      </c>
    </row>
    <row r="210" spans="1:9" hidden="1">
      <c r="A210" s="13"/>
      <c r="B210" s="13"/>
      <c r="C210" s="22" t="e">
        <f>POWER(C4-E210,2)+POWER(C6-F210,2)+POWER(C8-G210,2)</f>
        <v>#NUM!</v>
      </c>
      <c r="D210" s="27" t="s">
        <v>298</v>
      </c>
      <c r="E210" s="28">
        <v>1.7</v>
      </c>
      <c r="F210" s="28">
        <v>4.3</v>
      </c>
      <c r="G210" s="28">
        <v>3.1</v>
      </c>
      <c r="H210" s="25">
        <f t="shared" si="10"/>
        <v>1.4000000000000001</v>
      </c>
      <c r="I210" s="29">
        <f t="shared" si="11"/>
        <v>3.8</v>
      </c>
    </row>
    <row r="211" spans="1:9" hidden="1">
      <c r="A211" s="13"/>
      <c r="B211" s="13"/>
      <c r="C211" s="22" t="e">
        <f>POWER(C4-E211,2)+POWER(C6-F211,2)+POWER(C8-G211,2)</f>
        <v>#NUM!</v>
      </c>
      <c r="D211" s="27" t="s">
        <v>299</v>
      </c>
      <c r="E211" s="28">
        <v>2.1</v>
      </c>
      <c r="F211" s="28">
        <v>5.0999999999999996</v>
      </c>
      <c r="G211" s="28">
        <v>2.8</v>
      </c>
      <c r="H211" s="25">
        <f t="shared" si="10"/>
        <v>0.69999999999999973</v>
      </c>
      <c r="I211" s="29">
        <f t="shared" si="11"/>
        <v>5.2999999999999989</v>
      </c>
    </row>
    <row r="212" spans="1:9" hidden="1">
      <c r="A212" s="13"/>
      <c r="B212" s="13"/>
      <c r="C212" s="22" t="e">
        <f>POWER(C4-E212,2)+POWER(C6-F212,2)+POWER(C8-G212,2)</f>
        <v>#NUM!</v>
      </c>
      <c r="D212" s="27" t="s">
        <v>300</v>
      </c>
      <c r="E212" s="28">
        <v>2.2999999999999998</v>
      </c>
      <c r="F212" s="28">
        <v>4.4000000000000004</v>
      </c>
      <c r="G212" s="28">
        <v>3.4</v>
      </c>
      <c r="H212" s="25">
        <f t="shared" si="10"/>
        <v>1.1000000000000001</v>
      </c>
      <c r="I212" s="29">
        <f t="shared" si="11"/>
        <v>3.1000000000000014</v>
      </c>
    </row>
    <row r="213" spans="1:9" hidden="1">
      <c r="A213" s="13"/>
      <c r="B213" s="13"/>
      <c r="C213" s="22" t="e">
        <f>POWER(C4-E213,2)+POWER(C6-F213,2)+POWER(C8-G213,2)</f>
        <v>#NUM!</v>
      </c>
      <c r="D213" s="27" t="s">
        <v>301</v>
      </c>
      <c r="E213" s="28">
        <v>2.86</v>
      </c>
      <c r="F213" s="28">
        <v>4.4400000000000004</v>
      </c>
      <c r="G213" s="28">
        <v>2.66</v>
      </c>
      <c r="H213" s="25">
        <f t="shared" si="10"/>
        <v>-0.19999999999999973</v>
      </c>
      <c r="I213" s="29">
        <f t="shared" si="11"/>
        <v>3.3600000000000012</v>
      </c>
    </row>
    <row r="214" spans="1:9" hidden="1">
      <c r="A214" s="13"/>
      <c r="B214" s="13"/>
      <c r="C214" s="22" t="e">
        <f>POWER(C4-E214,2)+POWER(C6-F214,2)+POWER(C8-G214,2)</f>
        <v>#NUM!</v>
      </c>
      <c r="D214" s="27" t="s">
        <v>302</v>
      </c>
      <c r="E214" s="28">
        <v>1.73</v>
      </c>
      <c r="F214" s="28">
        <v>4.5</v>
      </c>
      <c r="G214" s="28">
        <v>4.16</v>
      </c>
      <c r="H214" s="25">
        <f t="shared" si="10"/>
        <v>2.4300000000000002</v>
      </c>
      <c r="I214" s="29">
        <f t="shared" si="11"/>
        <v>3.1099999999999994</v>
      </c>
    </row>
    <row r="215" spans="1:9" hidden="1">
      <c r="A215" s="13"/>
      <c r="B215" s="13"/>
      <c r="C215" s="22" t="e">
        <f>POWER(C4-E215,2)+POWER(C6-F215,2)+POWER(C8-G215,2)</f>
        <v>#NUM!</v>
      </c>
      <c r="D215" s="27" t="s">
        <v>303</v>
      </c>
      <c r="E215" s="28">
        <v>2.79</v>
      </c>
      <c r="F215" s="28">
        <v>4.18</v>
      </c>
      <c r="G215" s="28">
        <v>3.52</v>
      </c>
      <c r="H215" s="25">
        <f t="shared" si="10"/>
        <v>0.73</v>
      </c>
      <c r="I215" s="29">
        <f t="shared" si="11"/>
        <v>2.0499999999999989</v>
      </c>
    </row>
    <row r="216" spans="1:9" hidden="1">
      <c r="A216" s="13"/>
      <c r="B216" s="13"/>
      <c r="C216" s="22" t="e">
        <f>POWER(C4-E216,2)+POWER(C6-F216,2)+POWER(C8-G216,2)</f>
        <v>#NUM!</v>
      </c>
      <c r="D216" s="27" t="s">
        <v>304</v>
      </c>
      <c r="E216" s="28">
        <v>3.1</v>
      </c>
      <c r="F216" s="28">
        <v>4.5999999999999996</v>
      </c>
      <c r="G216" s="28">
        <v>3.09</v>
      </c>
      <c r="H216" s="25">
        <f t="shared" si="10"/>
        <v>-1.0000000000000231E-2</v>
      </c>
      <c r="I216" s="29">
        <f t="shared" si="11"/>
        <v>3.01</v>
      </c>
    </row>
    <row r="217" spans="1:9" hidden="1">
      <c r="A217" s="13"/>
      <c r="B217" s="13"/>
      <c r="C217" s="22" t="e">
        <f>POWER(C4-E217,2)+POWER(C6-F217,2)+POWER(C8-G217,2)</f>
        <v>#NUM!</v>
      </c>
      <c r="D217" s="27" t="s">
        <v>305</v>
      </c>
      <c r="E217" s="28">
        <v>2.5299999999999998</v>
      </c>
      <c r="F217" s="28">
        <v>4.25</v>
      </c>
      <c r="G217" s="28">
        <v>3.53</v>
      </c>
      <c r="H217" s="25">
        <f t="shared" si="10"/>
        <v>1</v>
      </c>
      <c r="I217" s="29">
        <f t="shared" si="11"/>
        <v>2.4400000000000004</v>
      </c>
    </row>
    <row r="218" spans="1:9" hidden="1">
      <c r="A218" s="13"/>
      <c r="B218" s="13"/>
      <c r="C218" s="22" t="e">
        <f>POWER(C4-E218,2)+POWER(C6-F218,2)+POWER(C8-G218,2)</f>
        <v>#NUM!</v>
      </c>
      <c r="D218" s="27" t="s">
        <v>306</v>
      </c>
      <c r="E218" s="28">
        <v>2.5299999999999998</v>
      </c>
      <c r="F218" s="28">
        <v>4.07</v>
      </c>
      <c r="G218" s="28">
        <v>3.57</v>
      </c>
      <c r="H218" s="25">
        <f t="shared" si="10"/>
        <v>1.04</v>
      </c>
      <c r="I218" s="29">
        <f t="shared" si="11"/>
        <v>2.0400000000000009</v>
      </c>
    </row>
    <row r="219" spans="1:9" hidden="1">
      <c r="A219" s="13"/>
      <c r="B219" s="13"/>
      <c r="C219" s="22" t="e">
        <f>POWER(C4-E219,2)+POWER(C6-F219,2)+POWER(C8-G219,2)</f>
        <v>#NUM!</v>
      </c>
      <c r="D219" s="27" t="s">
        <v>307</v>
      </c>
      <c r="E219" s="28">
        <v>2.76</v>
      </c>
      <c r="F219" s="28">
        <v>4.37</v>
      </c>
      <c r="G219" s="28">
        <v>3.02</v>
      </c>
      <c r="H219" s="25">
        <f t="shared" si="10"/>
        <v>0.26000000000000023</v>
      </c>
      <c r="I219" s="29">
        <f t="shared" si="11"/>
        <v>2.9600000000000009</v>
      </c>
    </row>
    <row r="220" spans="1:9" hidden="1">
      <c r="A220" s="13"/>
      <c r="B220" s="13"/>
      <c r="C220" s="22" t="e">
        <f>POWER(C4-E220,2)+POWER(C6-F220,2)+POWER(C8-G220,2)</f>
        <v>#NUM!</v>
      </c>
      <c r="D220" s="27" t="s">
        <v>308</v>
      </c>
      <c r="E220" s="28">
        <v>2.83</v>
      </c>
      <c r="F220" s="28">
        <v>3.89</v>
      </c>
      <c r="G220" s="28">
        <v>3.38</v>
      </c>
      <c r="H220" s="25">
        <f t="shared" si="10"/>
        <v>0.54999999999999982</v>
      </c>
      <c r="I220" s="29">
        <f t="shared" si="11"/>
        <v>1.5700000000000003</v>
      </c>
    </row>
    <row r="221" spans="1:9" hidden="1">
      <c r="A221" s="13"/>
      <c r="B221" s="13"/>
      <c r="C221" s="22" t="e">
        <f>POWER(C4-E221,2)+POWER(C6-F221,2)+POWER(C8-G221,2)</f>
        <v>#NUM!</v>
      </c>
      <c r="D221" s="27" t="s">
        <v>309</v>
      </c>
      <c r="E221" s="28">
        <v>2.9</v>
      </c>
      <c r="F221" s="28">
        <v>5.3</v>
      </c>
      <c r="G221" s="28">
        <v>2.2999999999999998</v>
      </c>
      <c r="H221" s="25">
        <f t="shared" si="10"/>
        <v>-0.60000000000000009</v>
      </c>
      <c r="I221" s="29">
        <f t="shared" si="11"/>
        <v>5.4</v>
      </c>
    </row>
    <row r="222" spans="1:9" hidden="1">
      <c r="A222" s="13"/>
      <c r="B222" s="13"/>
      <c r="C222" s="22" t="e">
        <f>POWER(C4-E222,2)+POWER(C6-F222,2)+POWER(C8-G222,2)</f>
        <v>#NUM!</v>
      </c>
      <c r="D222" s="23" t="s">
        <v>310</v>
      </c>
      <c r="E222" s="24">
        <v>2.6</v>
      </c>
      <c r="F222" s="24">
        <v>3.8</v>
      </c>
      <c r="G222" s="24">
        <v>3</v>
      </c>
      <c r="H222" s="25">
        <f t="shared" si="10"/>
        <v>0.39999999999999991</v>
      </c>
      <c r="I222" s="29">
        <f t="shared" si="11"/>
        <v>2</v>
      </c>
    </row>
    <row r="223" spans="1:9" hidden="1">
      <c r="A223" s="13"/>
      <c r="B223" s="13"/>
      <c r="C223" s="22" t="e">
        <f>POWER(C4-E223,2)+POWER(C6-F223,2)+POWER(C8-G223,2)</f>
        <v>#NUM!</v>
      </c>
      <c r="D223" s="23"/>
      <c r="E223" s="24"/>
      <c r="F223" s="24"/>
      <c r="G223" s="24"/>
      <c r="H223" s="25"/>
      <c r="I223" s="25"/>
    </row>
    <row r="224" spans="1:9" hidden="1">
      <c r="A224" s="13"/>
      <c r="B224" s="13"/>
      <c r="C224" s="22" t="e">
        <f>POWER(C4-E224,2)+POWER(C6-F224,2)+POWER(C8-G224,2)</f>
        <v>#NUM!</v>
      </c>
      <c r="D224" s="23" t="s">
        <v>311</v>
      </c>
      <c r="E224" s="24">
        <v>2.1</v>
      </c>
      <c r="F224" s="24">
        <v>3.3</v>
      </c>
      <c r="G224" s="24">
        <v>3.7</v>
      </c>
      <c r="H224" s="25">
        <f t="shared" ref="H224:H255" si="12">G224-E224</f>
        <v>1.6</v>
      </c>
      <c r="I224" s="29">
        <f t="shared" ref="I224:I255" si="13">2*F224-(G224+E224)</f>
        <v>0.79999999999999893</v>
      </c>
    </row>
    <row r="225" spans="1:9" hidden="1">
      <c r="A225" s="13"/>
      <c r="B225" s="13"/>
      <c r="C225" s="22" t="e">
        <f>POWER(C4-E225,2)+POWER(C6-F225,2)+POWER(C8-G225,2)</f>
        <v>#NUM!</v>
      </c>
      <c r="D225" s="23" t="s">
        <v>312</v>
      </c>
      <c r="E225" s="24">
        <v>5.3</v>
      </c>
      <c r="F225" s="24">
        <v>5.3</v>
      </c>
      <c r="G225" s="24">
        <v>1.6</v>
      </c>
      <c r="H225" s="25">
        <f t="shared" si="12"/>
        <v>-3.6999999999999997</v>
      </c>
      <c r="I225" s="29">
        <f t="shared" si="13"/>
        <v>3.6999999999999993</v>
      </c>
    </row>
    <row r="226" spans="1:9" hidden="1">
      <c r="A226" s="13"/>
      <c r="B226" s="13"/>
      <c r="C226" s="22" t="e">
        <f>POWER(C4-E226,2)+POWER(C6-F226,2)+POWER(C8-G226,2)</f>
        <v>#NUM!</v>
      </c>
      <c r="D226" s="23" t="s">
        <v>313</v>
      </c>
      <c r="E226" s="24">
        <v>3.4</v>
      </c>
      <c r="F226" s="24">
        <v>4</v>
      </c>
      <c r="G226" s="24">
        <v>2.9</v>
      </c>
      <c r="H226" s="25">
        <f t="shared" si="12"/>
        <v>-0.5</v>
      </c>
      <c r="I226" s="29">
        <f t="shared" si="13"/>
        <v>1.7000000000000002</v>
      </c>
    </row>
    <row r="227" spans="1:9" hidden="1">
      <c r="A227" s="13"/>
      <c r="B227" s="13"/>
      <c r="C227" s="22" t="e">
        <f>POWER(C4-E227,2)+POWER(C6-F227,2)+POWER(C8-G227,2)</f>
        <v>#NUM!</v>
      </c>
      <c r="D227" s="23" t="s">
        <v>314</v>
      </c>
      <c r="E227" s="24">
        <v>2.5</v>
      </c>
      <c r="F227" s="24">
        <v>3.7</v>
      </c>
      <c r="G227" s="24">
        <v>3.1</v>
      </c>
      <c r="H227" s="25">
        <f t="shared" si="12"/>
        <v>0.60000000000000009</v>
      </c>
      <c r="I227" s="29">
        <f t="shared" si="13"/>
        <v>1.8000000000000007</v>
      </c>
    </row>
    <row r="228" spans="1:9" hidden="1">
      <c r="A228" s="13"/>
      <c r="B228" s="13"/>
      <c r="C228" s="22" t="e">
        <f>POWER(C4-E228,2)+POWER(C6-F228,2)+POWER(C8-G228,2)</f>
        <v>#NUM!</v>
      </c>
      <c r="D228" s="23" t="s">
        <v>315</v>
      </c>
      <c r="E228" s="24">
        <v>2.2999999999999998</v>
      </c>
      <c r="F228" s="24">
        <v>3.2</v>
      </c>
      <c r="G228" s="24">
        <v>4</v>
      </c>
      <c r="H228" s="25">
        <f t="shared" si="12"/>
        <v>1.7000000000000002</v>
      </c>
      <c r="I228" s="29">
        <f t="shared" si="13"/>
        <v>0.10000000000000053</v>
      </c>
    </row>
    <row r="229" spans="1:9" hidden="1">
      <c r="A229" s="13"/>
      <c r="B229" s="13"/>
      <c r="C229" s="22" t="e">
        <f>POWER(C4-E229,2)+POWER(C6-F229,2)+POWER(C8-G229,2)</f>
        <v>#NUM!</v>
      </c>
      <c r="D229" s="23" t="s">
        <v>316</v>
      </c>
      <c r="E229" s="24">
        <v>2.2999999999999998</v>
      </c>
      <c r="F229" s="24">
        <v>2.9</v>
      </c>
      <c r="G229" s="24">
        <v>4</v>
      </c>
      <c r="H229" s="25">
        <f t="shared" si="12"/>
        <v>1.7000000000000002</v>
      </c>
      <c r="I229" s="29">
        <f t="shared" si="13"/>
        <v>-0.5</v>
      </c>
    </row>
    <row r="230" spans="1:9" hidden="1">
      <c r="A230" s="13"/>
      <c r="B230" s="13"/>
      <c r="C230" s="22" t="e">
        <f>POWER(C4-E230,2)+POWER(C6-F230,2)+POWER(C8-G230,2)</f>
        <v>#NUM!</v>
      </c>
      <c r="D230" s="23" t="s">
        <v>317</v>
      </c>
      <c r="E230" s="24">
        <v>2.84</v>
      </c>
      <c r="F230" s="24">
        <v>3.69</v>
      </c>
      <c r="G230" s="24">
        <v>3.44</v>
      </c>
      <c r="H230" s="25">
        <f t="shared" si="12"/>
        <v>0.60000000000000009</v>
      </c>
      <c r="I230" s="29">
        <f t="shared" si="13"/>
        <v>1.1000000000000005</v>
      </c>
    </row>
    <row r="231" spans="1:9" hidden="1">
      <c r="A231" s="13"/>
      <c r="B231" s="13"/>
      <c r="C231" s="22" t="e">
        <f>POWER(C4-E231,2)+POWER(C6-F231,2)+POWER(C8-G231,2)</f>
        <v>#NUM!</v>
      </c>
      <c r="D231" s="23" t="s">
        <v>318</v>
      </c>
      <c r="E231" s="24">
        <v>2.92</v>
      </c>
      <c r="F231" s="24">
        <v>3.28</v>
      </c>
      <c r="G231" s="24">
        <v>3.57</v>
      </c>
      <c r="H231" s="25">
        <f t="shared" si="12"/>
        <v>0.64999999999999991</v>
      </c>
      <c r="I231" s="29">
        <f t="shared" si="13"/>
        <v>6.9999999999999396E-2</v>
      </c>
    </row>
    <row r="232" spans="1:9" hidden="1">
      <c r="A232" s="13"/>
      <c r="B232" s="13"/>
      <c r="C232" s="22" t="e">
        <f>POWER(C4-E232,2)+POWER(C6-F232,2)+POWER(C8-G232,2)</f>
        <v>#NUM!</v>
      </c>
      <c r="D232" s="23" t="s">
        <v>319</v>
      </c>
      <c r="E232" s="24">
        <v>3.28</v>
      </c>
      <c r="F232" s="24">
        <v>3.35</v>
      </c>
      <c r="G232" s="24">
        <v>3.31</v>
      </c>
      <c r="H232" s="25">
        <f t="shared" si="12"/>
        <v>3.0000000000000249E-2</v>
      </c>
      <c r="I232" s="29">
        <f t="shared" si="13"/>
        <v>0.11000000000000032</v>
      </c>
    </row>
    <row r="233" spans="1:9" hidden="1">
      <c r="A233" s="13"/>
      <c r="B233" s="13"/>
      <c r="C233" s="22" t="e">
        <f>POWER(C4-E233,2)+POWER(C6-F233,2)+POWER(C8-G233,2)</f>
        <v>#NUM!</v>
      </c>
      <c r="D233" s="23" t="s">
        <v>320</v>
      </c>
      <c r="E233" s="24">
        <v>3.92</v>
      </c>
      <c r="F233" s="24">
        <v>3.76</v>
      </c>
      <c r="G233" s="24">
        <v>2.98</v>
      </c>
      <c r="H233" s="25">
        <f t="shared" si="12"/>
        <v>-0.94</v>
      </c>
      <c r="I233" s="29">
        <f t="shared" si="13"/>
        <v>0.61999999999999922</v>
      </c>
    </row>
    <row r="234" spans="1:9" hidden="1">
      <c r="A234" s="13"/>
      <c r="B234" s="13"/>
      <c r="C234" s="22" t="e">
        <f>POWER(C4-E234,2)+POWER(C6-F234,2)+POWER(C8-G234,2)</f>
        <v>#NUM!</v>
      </c>
      <c r="D234" s="23" t="s">
        <v>321</v>
      </c>
      <c r="E234" s="24">
        <v>3.78</v>
      </c>
      <c r="F234" s="24">
        <v>3.58</v>
      </c>
      <c r="G234" s="24">
        <v>2.83</v>
      </c>
      <c r="H234" s="25">
        <f t="shared" si="12"/>
        <v>-0.94999999999999973</v>
      </c>
      <c r="I234" s="29">
        <f t="shared" si="13"/>
        <v>0.55000000000000071</v>
      </c>
    </row>
    <row r="235" spans="1:9" hidden="1">
      <c r="A235" s="13"/>
      <c r="B235" s="13"/>
      <c r="C235" s="22" t="e">
        <f>POWER(C4-E235,2)+POWER(C6-F235,2)+POWER(C8-G235,2)</f>
        <v>#NUM!</v>
      </c>
      <c r="D235" s="23" t="s">
        <v>322</v>
      </c>
      <c r="E235" s="24">
        <v>3.92</v>
      </c>
      <c r="F235" s="24">
        <v>3.56</v>
      </c>
      <c r="G235" s="24">
        <v>2.73</v>
      </c>
      <c r="H235" s="25">
        <f t="shared" si="12"/>
        <v>-1.19</v>
      </c>
      <c r="I235" s="29">
        <f t="shared" si="13"/>
        <v>0.46999999999999975</v>
      </c>
    </row>
    <row r="236" spans="1:9" hidden="1">
      <c r="A236" s="13"/>
      <c r="B236" s="13"/>
      <c r="C236" s="22" t="e">
        <f>POWER(C4-E236,2)+POWER(C6-F236,2)+POWER(C8-G236,2)</f>
        <v>#NUM!</v>
      </c>
      <c r="D236" s="23" t="s">
        <v>323</v>
      </c>
      <c r="E236" s="24">
        <v>4.04</v>
      </c>
      <c r="F236" s="24">
        <v>3.76</v>
      </c>
      <c r="G236" s="24">
        <v>2.4500000000000002</v>
      </c>
      <c r="H236" s="25">
        <f t="shared" si="12"/>
        <v>-1.5899999999999999</v>
      </c>
      <c r="I236" s="29">
        <f t="shared" si="13"/>
        <v>1.0299999999999994</v>
      </c>
    </row>
    <row r="237" spans="1:9" hidden="1">
      <c r="A237" s="13"/>
      <c r="B237" s="13"/>
      <c r="C237" s="22" t="e">
        <f>POWER(C4-E237,2)+POWER(C6-F237,2)+POWER(C8-G237,2)</f>
        <v>#NUM!</v>
      </c>
      <c r="D237" s="23" t="s">
        <v>324</v>
      </c>
      <c r="E237" s="24">
        <v>4.0999999999999996</v>
      </c>
      <c r="F237" s="24">
        <v>4.4000000000000004</v>
      </c>
      <c r="G237" s="24">
        <v>2.5</v>
      </c>
      <c r="H237" s="25">
        <f t="shared" si="12"/>
        <v>-1.5999999999999996</v>
      </c>
      <c r="I237" s="29">
        <f t="shared" si="13"/>
        <v>2.2000000000000011</v>
      </c>
    </row>
    <row r="238" spans="1:9" hidden="1">
      <c r="A238" s="13"/>
      <c r="B238" s="13"/>
      <c r="C238" s="22" t="e">
        <f>POWER(C4-E238,2)+POWER(C6-F238,2)+POWER(C8-G238,2)</f>
        <v>#NUM!</v>
      </c>
      <c r="D238" s="23" t="s">
        <v>325</v>
      </c>
      <c r="E238" s="24">
        <v>4</v>
      </c>
      <c r="F238" s="24">
        <v>3.5</v>
      </c>
      <c r="G238" s="24">
        <v>2.7</v>
      </c>
      <c r="H238" s="25">
        <f t="shared" si="12"/>
        <v>-1.2999999999999998</v>
      </c>
      <c r="I238" s="29">
        <f t="shared" si="13"/>
        <v>0.29999999999999982</v>
      </c>
    </row>
    <row r="239" spans="1:9" hidden="1">
      <c r="A239" s="13"/>
      <c r="B239" s="13"/>
      <c r="C239" s="22" t="e">
        <f>POWER(C4-E239,2)+POWER(C6-F239,2)+POWER(C8-G239,2)</f>
        <v>#NUM!</v>
      </c>
      <c r="D239" s="23" t="s">
        <v>326</v>
      </c>
      <c r="E239" s="24">
        <v>4.3</v>
      </c>
      <c r="F239" s="24">
        <v>4.5</v>
      </c>
      <c r="G239" s="24">
        <v>3</v>
      </c>
      <c r="H239" s="25">
        <f t="shared" si="12"/>
        <v>-1.2999999999999998</v>
      </c>
      <c r="I239" s="29">
        <f t="shared" si="13"/>
        <v>1.7000000000000002</v>
      </c>
    </row>
    <row r="240" spans="1:9" hidden="1">
      <c r="A240" s="13"/>
      <c r="B240" s="13"/>
      <c r="C240" s="22" t="e">
        <f>POWER(C4-E240,2)+POWER(C6-F240,2)+POWER(C8-G240,2)</f>
        <v>#NUM!</v>
      </c>
      <c r="D240" s="23" t="s">
        <v>327</v>
      </c>
      <c r="E240" s="24">
        <v>3.7</v>
      </c>
      <c r="F240" s="24">
        <v>4</v>
      </c>
      <c r="G240" s="24">
        <v>2.9</v>
      </c>
      <c r="H240" s="25">
        <f t="shared" si="12"/>
        <v>-0.80000000000000027</v>
      </c>
      <c r="I240" s="29">
        <f t="shared" si="13"/>
        <v>1.4000000000000004</v>
      </c>
    </row>
    <row r="241" spans="1:9" hidden="1">
      <c r="A241" s="13"/>
      <c r="B241" s="13"/>
      <c r="C241" s="22" t="e">
        <f>POWER(C4-E241,2)+POWER(C6-F241,2)+POWER(C8-G241,2)</f>
        <v>#NUM!</v>
      </c>
      <c r="D241" s="23" t="s">
        <v>328</v>
      </c>
      <c r="E241" s="24">
        <v>3.9</v>
      </c>
      <c r="F241" s="24">
        <v>4</v>
      </c>
      <c r="G241" s="24">
        <v>2.5</v>
      </c>
      <c r="H241" s="25">
        <f t="shared" si="12"/>
        <v>-1.4</v>
      </c>
      <c r="I241" s="29">
        <f t="shared" si="13"/>
        <v>1.5999999999999996</v>
      </c>
    </row>
    <row r="242" spans="1:9" hidden="1">
      <c r="A242" s="13"/>
      <c r="B242" s="13"/>
      <c r="C242" s="22" t="e">
        <f>POWER(C4-E242,2)+POWER(C6-F242,2)+POWER(C8-G242,2)</f>
        <v>#NUM!</v>
      </c>
      <c r="D242" s="23" t="s">
        <v>329</v>
      </c>
      <c r="E242" s="24">
        <v>2.75</v>
      </c>
      <c r="F242" s="24">
        <v>3.75</v>
      </c>
      <c r="G242" s="24">
        <v>2.88</v>
      </c>
      <c r="H242" s="25">
        <f t="shared" si="12"/>
        <v>0.12999999999999989</v>
      </c>
      <c r="I242" s="29">
        <f t="shared" si="13"/>
        <v>1.87</v>
      </c>
    </row>
    <row r="243" spans="1:9" hidden="1">
      <c r="A243" s="13"/>
      <c r="B243" s="13"/>
      <c r="C243" s="22" t="e">
        <f>POWER(C4-E243,2)+POWER(C6-F243,2)+POWER(C8-G243,2)</f>
        <v>#NUM!</v>
      </c>
      <c r="D243" s="23" t="s">
        <v>330</v>
      </c>
      <c r="E243" s="24">
        <v>3.6</v>
      </c>
      <c r="F243" s="24">
        <v>3.75</v>
      </c>
      <c r="G243" s="24">
        <v>3.02</v>
      </c>
      <c r="H243" s="25">
        <f t="shared" si="12"/>
        <v>-0.58000000000000007</v>
      </c>
      <c r="I243" s="29">
        <f t="shared" si="13"/>
        <v>0.87999999999999989</v>
      </c>
    </row>
    <row r="244" spans="1:9" hidden="1">
      <c r="A244" s="13"/>
      <c r="B244" s="13"/>
      <c r="C244" s="22" t="e">
        <f>POWER(C4-E244,2)+POWER(C6-F244,2)+POWER(C8-G244,2)</f>
        <v>#NUM!</v>
      </c>
      <c r="D244" s="23" t="s">
        <v>331</v>
      </c>
      <c r="E244" s="24">
        <v>4</v>
      </c>
      <c r="F244" s="24">
        <v>3.6</v>
      </c>
      <c r="G244" s="24">
        <v>3.02</v>
      </c>
      <c r="H244" s="25">
        <f t="shared" si="12"/>
        <v>-0.98</v>
      </c>
      <c r="I244" s="29">
        <f t="shared" si="13"/>
        <v>0.1800000000000006</v>
      </c>
    </row>
    <row r="245" spans="1:9" hidden="1">
      <c r="A245" s="13"/>
      <c r="B245" s="13"/>
      <c r="C245" s="22" t="e">
        <f>POWER(C4-E245,2)+POWER(C6-F245,2)+POWER(C8-G245,2)</f>
        <v>#NUM!</v>
      </c>
      <c r="D245" s="23" t="s">
        <v>332</v>
      </c>
      <c r="E245" s="24">
        <v>4.1399999999999997</v>
      </c>
      <c r="F245" s="24">
        <v>3.92</v>
      </c>
      <c r="G245" s="24">
        <v>2.74</v>
      </c>
      <c r="H245" s="25">
        <f t="shared" si="12"/>
        <v>-1.3999999999999995</v>
      </c>
      <c r="I245" s="29">
        <f t="shared" si="13"/>
        <v>0.96</v>
      </c>
    </row>
    <row r="246" spans="1:9" hidden="1">
      <c r="A246" s="13"/>
      <c r="B246" s="13"/>
      <c r="C246" s="22" t="e">
        <f>POWER(C4-E246,2)+POWER(C6-F246,2)+POWER(C8-G246,2)</f>
        <v>#NUM!</v>
      </c>
      <c r="D246" s="23" t="s">
        <v>333</v>
      </c>
      <c r="E246" s="24">
        <v>4.28</v>
      </c>
      <c r="F246" s="24">
        <v>3.91</v>
      </c>
      <c r="G246" s="24">
        <v>2.57</v>
      </c>
      <c r="H246" s="25">
        <f t="shared" si="12"/>
        <v>-1.7100000000000004</v>
      </c>
      <c r="I246" s="29">
        <f t="shared" si="13"/>
        <v>0.97000000000000064</v>
      </c>
    </row>
    <row r="247" spans="1:9" hidden="1">
      <c r="A247" s="13"/>
      <c r="B247" s="13"/>
      <c r="C247" s="22" t="e">
        <f>POWER(C4-E247,2)+POWER(C6-F247,2)+POWER(C8-G247,2)</f>
        <v>#NUM!</v>
      </c>
      <c r="D247" s="23" t="s">
        <v>334</v>
      </c>
      <c r="E247" s="24">
        <v>4.5999999999999996</v>
      </c>
      <c r="F247" s="24">
        <v>3.81</v>
      </c>
      <c r="G247" s="24">
        <v>2.6</v>
      </c>
      <c r="H247" s="25">
        <f t="shared" si="12"/>
        <v>-1.9999999999999996</v>
      </c>
      <c r="I247" s="29">
        <f t="shared" si="13"/>
        <v>0.42000000000000082</v>
      </c>
    </row>
    <row r="248" spans="1:9" hidden="1">
      <c r="A248" s="13"/>
      <c r="B248" s="13"/>
      <c r="C248" s="22" t="e">
        <f>POWER(C4-E248,2)+POWER(C6-F248,2)+POWER(C8-G248,2)</f>
        <v>#NUM!</v>
      </c>
      <c r="D248" s="23" t="s">
        <v>335</v>
      </c>
      <c r="E248" s="24">
        <v>4.8899999999999997</v>
      </c>
      <c r="F248" s="24">
        <v>4.62</v>
      </c>
      <c r="G248" s="24">
        <v>1.7</v>
      </c>
      <c r="H248" s="25">
        <f t="shared" si="12"/>
        <v>-3.1899999999999995</v>
      </c>
      <c r="I248" s="29">
        <f t="shared" si="13"/>
        <v>2.6500000000000004</v>
      </c>
    </row>
    <row r="249" spans="1:9" hidden="1">
      <c r="A249" s="13"/>
      <c r="B249" s="13"/>
      <c r="C249" s="22" t="e">
        <f>POWER(C4-E249,2)+POWER(C6-F249,2)+POWER(C8-G249,2)</f>
        <v>#NUM!</v>
      </c>
      <c r="D249" s="23" t="s">
        <v>336</v>
      </c>
      <c r="E249" s="24">
        <v>3</v>
      </c>
      <c r="F249" s="24">
        <v>4.5</v>
      </c>
      <c r="G249" s="24">
        <v>2.5</v>
      </c>
      <c r="H249" s="25">
        <f t="shared" si="12"/>
        <v>-0.5</v>
      </c>
      <c r="I249" s="29">
        <f t="shared" si="13"/>
        <v>3.5</v>
      </c>
    </row>
    <row r="250" spans="1:9" hidden="1">
      <c r="A250" s="13"/>
      <c r="B250" s="13"/>
      <c r="C250" s="22" t="e">
        <f>POWER(C4-E250,2)+POWER(C6-F250,2)+POWER(C8-G250,2)</f>
        <v>#NUM!</v>
      </c>
      <c r="D250" s="23" t="s">
        <v>337</v>
      </c>
      <c r="E250" s="24">
        <v>3</v>
      </c>
      <c r="F250" s="24">
        <v>3.8</v>
      </c>
      <c r="G250" s="24">
        <v>3.3</v>
      </c>
      <c r="H250" s="25">
        <f t="shared" si="12"/>
        <v>0.29999999999999982</v>
      </c>
      <c r="I250" s="29">
        <f t="shared" si="13"/>
        <v>1.2999999999999998</v>
      </c>
    </row>
    <row r="251" spans="1:9" hidden="1">
      <c r="A251" s="13"/>
      <c r="B251" s="13"/>
      <c r="C251" s="22" t="e">
        <f>POWER(C4-E251,2)+POWER(C6-F251,2)+POWER(C8-G251,2)</f>
        <v>#NUM!</v>
      </c>
      <c r="D251" s="23" t="s">
        <v>338</v>
      </c>
      <c r="E251" s="24">
        <v>5.42</v>
      </c>
      <c r="F251" s="24">
        <v>4.26</v>
      </c>
      <c r="G251" s="24">
        <v>2.08</v>
      </c>
      <c r="H251" s="25">
        <f t="shared" si="12"/>
        <v>-3.34</v>
      </c>
      <c r="I251" s="29">
        <f t="shared" si="13"/>
        <v>1.0199999999999996</v>
      </c>
    </row>
    <row r="252" spans="1:9" hidden="1">
      <c r="A252" s="13"/>
      <c r="B252" s="13"/>
      <c r="C252" s="22" t="e">
        <f>POWER(C4-E252,2)+POWER(C6-F252,2)+POWER(C8-G252,2)</f>
        <v>#NUM!</v>
      </c>
      <c r="D252" s="23" t="s">
        <v>339</v>
      </c>
      <c r="E252" s="24">
        <v>4.2300000000000004</v>
      </c>
      <c r="F252" s="24">
        <v>4.2</v>
      </c>
      <c r="G252" s="24">
        <v>2.54</v>
      </c>
      <c r="H252" s="25">
        <f t="shared" si="12"/>
        <v>-1.6900000000000004</v>
      </c>
      <c r="I252" s="29">
        <f t="shared" si="13"/>
        <v>1.63</v>
      </c>
    </row>
    <row r="253" spans="1:9" hidden="1">
      <c r="A253" s="13"/>
      <c r="B253" s="13"/>
      <c r="C253" s="22" t="e">
        <f>POWER(C4-E253,2)+POWER(C6-F253,2)+POWER(C8-G253,2)</f>
        <v>#NUM!</v>
      </c>
      <c r="D253" s="23" t="s">
        <v>340</v>
      </c>
      <c r="E253" s="24">
        <v>3.84</v>
      </c>
      <c r="F253" s="24">
        <v>3.6</v>
      </c>
      <c r="G253" s="24">
        <v>3.19</v>
      </c>
      <c r="H253" s="25">
        <f t="shared" si="12"/>
        <v>-0.64999999999999991</v>
      </c>
      <c r="I253" s="29">
        <f t="shared" si="13"/>
        <v>0.17000000000000082</v>
      </c>
    </row>
    <row r="254" spans="1:9" hidden="1">
      <c r="A254" s="13"/>
      <c r="B254" s="13"/>
      <c r="C254" s="22" t="e">
        <f>POWER(C4-E254,2)+POWER(C6-F254,2)+POWER(C8-G254,2)</f>
        <v>#NUM!</v>
      </c>
      <c r="D254" s="23" t="s">
        <v>341</v>
      </c>
      <c r="E254" s="24">
        <v>3.93</v>
      </c>
      <c r="F254" s="24">
        <v>3.53</v>
      </c>
      <c r="G254" s="24">
        <v>3</v>
      </c>
      <c r="H254" s="25">
        <f t="shared" si="12"/>
        <v>-0.93000000000000016</v>
      </c>
      <c r="I254" s="29">
        <f t="shared" si="13"/>
        <v>0.12999999999999989</v>
      </c>
    </row>
    <row r="255" spans="1:9" hidden="1">
      <c r="A255" s="13"/>
      <c r="B255" s="13"/>
      <c r="C255" s="22" t="e">
        <f>POWER(C4-E255,2)+POWER(C6-F255,2)+POWER(C8-G255,2)</f>
        <v>#NUM!</v>
      </c>
      <c r="D255" s="23" t="s">
        <v>342</v>
      </c>
      <c r="E255" s="24">
        <v>4.17</v>
      </c>
      <c r="F255" s="24">
        <v>3.39</v>
      </c>
      <c r="G255" s="24">
        <v>2.99</v>
      </c>
      <c r="H255" s="25">
        <f t="shared" si="12"/>
        <v>-1.1799999999999997</v>
      </c>
      <c r="I255" s="29">
        <f t="shared" si="13"/>
        <v>-0.37999999999999989</v>
      </c>
    </row>
    <row r="256" spans="1:9" hidden="1">
      <c r="A256" s="13"/>
      <c r="B256" s="13"/>
      <c r="C256" s="22" t="e">
        <f>POWER(C4-E256,2)+POWER(C6-F256,2)+POWER(C8-G256,2)</f>
        <v>#NUM!</v>
      </c>
      <c r="D256" s="23" t="s">
        <v>343</v>
      </c>
      <c r="E256" s="24">
        <v>3.94</v>
      </c>
      <c r="F256" s="24">
        <v>3.43</v>
      </c>
      <c r="G256" s="24">
        <v>2.92</v>
      </c>
      <c r="H256" s="25">
        <f t="shared" ref="H256:H287" si="14">G256-E256</f>
        <v>-1.02</v>
      </c>
      <c r="I256" s="29">
        <f t="shared" ref="I256:I287" si="15">2*F256-(G256+E256)</f>
        <v>0</v>
      </c>
    </row>
    <row r="257" spans="1:9" hidden="1">
      <c r="A257" s="13"/>
      <c r="B257" s="13"/>
      <c r="C257" s="22" t="e">
        <f>POWER(C4-E257,2)+POWER(C6-F257,2)+POWER(C8-G257,2)</f>
        <v>#NUM!</v>
      </c>
      <c r="D257" s="23" t="s">
        <v>344</v>
      </c>
      <c r="E257" s="24">
        <v>4.4800000000000004</v>
      </c>
      <c r="F257" s="24">
        <v>3.19</v>
      </c>
      <c r="G257" s="24">
        <v>3.36</v>
      </c>
      <c r="H257" s="25">
        <f t="shared" si="14"/>
        <v>-1.1200000000000006</v>
      </c>
      <c r="I257" s="29">
        <f t="shared" si="15"/>
        <v>-1.46</v>
      </c>
    </row>
    <row r="258" spans="1:9" hidden="1">
      <c r="A258" s="13"/>
      <c r="B258" s="13"/>
      <c r="C258" s="22" t="e">
        <f>POWER(C4-E258,2)+POWER(C6-F258,2)+POWER(C8-G258,2)</f>
        <v>#NUM!</v>
      </c>
      <c r="D258" s="23" t="s">
        <v>345</v>
      </c>
      <c r="E258" s="24">
        <v>4.9000000000000004</v>
      </c>
      <c r="F258" s="24">
        <v>4.4000000000000004</v>
      </c>
      <c r="G258" s="24">
        <v>2</v>
      </c>
      <c r="H258" s="25">
        <f t="shared" si="14"/>
        <v>-2.9000000000000004</v>
      </c>
      <c r="I258" s="29">
        <f t="shared" si="15"/>
        <v>1.9000000000000004</v>
      </c>
    </row>
    <row r="259" spans="1:9" hidden="1">
      <c r="A259" s="13"/>
      <c r="B259" s="13"/>
      <c r="C259" s="22" t="e">
        <f>POWER(C4-E259,2)+POWER(C6-F259,2)+POWER(C8-G259,2)</f>
        <v>#NUM!</v>
      </c>
      <c r="D259" s="23" t="s">
        <v>346</v>
      </c>
      <c r="E259" s="24">
        <v>4.2</v>
      </c>
      <c r="F259" s="24">
        <v>4.5999999999999996</v>
      </c>
      <c r="G259" s="24">
        <v>2.2000000000000002</v>
      </c>
      <c r="H259" s="25">
        <f t="shared" si="14"/>
        <v>-2</v>
      </c>
      <c r="I259" s="29">
        <f t="shared" si="15"/>
        <v>2.7999999999999989</v>
      </c>
    </row>
    <row r="260" spans="1:9" hidden="1">
      <c r="A260" s="13"/>
      <c r="B260" s="13"/>
      <c r="C260" s="22" t="e">
        <f>POWER(C4-E260,2)+POWER(C6-F260,2)+POWER(C8-G260,2)</f>
        <v>#NUM!</v>
      </c>
      <c r="D260" s="23" t="s">
        <v>347</v>
      </c>
      <c r="E260" s="24">
        <v>2.7</v>
      </c>
      <c r="F260" s="24">
        <v>4.2</v>
      </c>
      <c r="G260" s="24">
        <v>2.8</v>
      </c>
      <c r="H260" s="25">
        <f t="shared" si="14"/>
        <v>9.9999999999999645E-2</v>
      </c>
      <c r="I260" s="29">
        <f t="shared" si="15"/>
        <v>2.9000000000000004</v>
      </c>
    </row>
    <row r="261" spans="1:9" hidden="1">
      <c r="A261" s="13"/>
      <c r="B261" s="13"/>
      <c r="C261" s="22" t="e">
        <f>POWER(C4-E261,2)+POWER(C6-F261,2)+POWER(C8-G261,2)</f>
        <v>#NUM!</v>
      </c>
      <c r="D261" s="23" t="s">
        <v>348</v>
      </c>
      <c r="E261" s="24">
        <v>2.52</v>
      </c>
      <c r="F261" s="24">
        <v>4.08</v>
      </c>
      <c r="G261" s="24">
        <v>3.18</v>
      </c>
      <c r="H261" s="25">
        <f t="shared" si="14"/>
        <v>0.66000000000000014</v>
      </c>
      <c r="I261" s="29">
        <f t="shared" si="15"/>
        <v>2.46</v>
      </c>
    </row>
    <row r="262" spans="1:9" hidden="1">
      <c r="A262" s="13"/>
      <c r="B262" s="13"/>
      <c r="C262" s="22" t="e">
        <f>POWER(C4-E262,2)+POWER(C6-F262,2)+POWER(C8-G262,2)</f>
        <v>#NUM!</v>
      </c>
      <c r="D262" s="23" t="s">
        <v>349</v>
      </c>
      <c r="E262" s="24">
        <v>2.35</v>
      </c>
      <c r="F262" s="24">
        <v>3.88</v>
      </c>
      <c r="G262" s="24">
        <v>3.2</v>
      </c>
      <c r="H262" s="25">
        <f t="shared" si="14"/>
        <v>0.85000000000000009</v>
      </c>
      <c r="I262" s="29">
        <f t="shared" si="15"/>
        <v>2.2099999999999991</v>
      </c>
    </row>
    <row r="263" spans="1:9" hidden="1">
      <c r="A263" s="13"/>
      <c r="B263" s="13"/>
      <c r="C263" s="22" t="e">
        <f>POWER(C4-E263,2)+POWER(C6-F263,2)+POWER(C8-G263,2)</f>
        <v>#NUM!</v>
      </c>
      <c r="D263" s="23" t="s">
        <v>350</v>
      </c>
      <c r="E263" s="24">
        <v>2.73</v>
      </c>
      <c r="F263" s="24">
        <v>3.94</v>
      </c>
      <c r="G263" s="24">
        <v>3.1</v>
      </c>
      <c r="H263" s="25">
        <f t="shared" si="14"/>
        <v>0.37000000000000011</v>
      </c>
      <c r="I263" s="29">
        <f t="shared" si="15"/>
        <v>2.0499999999999998</v>
      </c>
    </row>
    <row r="264" spans="1:9" hidden="1">
      <c r="A264" s="13"/>
      <c r="B264" s="13"/>
      <c r="C264" s="22" t="e">
        <f>POWER(C4-E264,2)+POWER(C6-F264,2)+POWER(C8-G264,2)</f>
        <v>#NUM!</v>
      </c>
      <c r="D264" s="23" t="s">
        <v>351</v>
      </c>
      <c r="E264" s="24">
        <v>2.59</v>
      </c>
      <c r="F264" s="24">
        <v>3.68</v>
      </c>
      <c r="G264" s="24">
        <v>3.2</v>
      </c>
      <c r="H264" s="25">
        <f t="shared" si="14"/>
        <v>0.61000000000000032</v>
      </c>
      <c r="I264" s="29">
        <f t="shared" si="15"/>
        <v>1.5700000000000003</v>
      </c>
    </row>
    <row r="265" spans="1:9" hidden="1">
      <c r="A265" s="13"/>
      <c r="B265" s="13"/>
      <c r="C265" s="22" t="e">
        <f>POWER(C4-E265,2)+POWER(C6-F265,2)+POWER(C8-G265,2)</f>
        <v>#NUM!</v>
      </c>
      <c r="D265" s="23" t="s">
        <v>352</v>
      </c>
      <c r="E265" s="24">
        <v>2.81</v>
      </c>
      <c r="F265" s="24">
        <v>4.1100000000000003</v>
      </c>
      <c r="G265" s="24">
        <v>2.6</v>
      </c>
      <c r="H265" s="25">
        <f t="shared" si="14"/>
        <v>-0.20999999999999996</v>
      </c>
      <c r="I265" s="29">
        <f t="shared" si="15"/>
        <v>2.8100000000000005</v>
      </c>
    </row>
    <row r="266" spans="1:9" hidden="1">
      <c r="A266" s="13"/>
      <c r="B266" s="13"/>
      <c r="C266" s="22" t="e">
        <f>POWER(C4-E266,2)+POWER(C6-F266,2)+POWER(C8-G266,2)</f>
        <v>#NUM!</v>
      </c>
      <c r="D266" s="23" t="s">
        <v>353</v>
      </c>
      <c r="E266" s="24">
        <v>3.39</v>
      </c>
      <c r="F266" s="24">
        <v>4.04</v>
      </c>
      <c r="G266" s="24">
        <v>2.46</v>
      </c>
      <c r="H266" s="25">
        <f t="shared" si="14"/>
        <v>-0.93000000000000016</v>
      </c>
      <c r="I266" s="29">
        <f t="shared" si="15"/>
        <v>2.2300000000000004</v>
      </c>
    </row>
    <row r="267" spans="1:9" hidden="1">
      <c r="A267" s="13"/>
      <c r="B267" s="13"/>
      <c r="C267" s="22" t="e">
        <f>POWER(C4-E267,2)+POWER(C6-F267,2)+POWER(C8-G267,2)</f>
        <v>#NUM!</v>
      </c>
      <c r="D267" s="23" t="s">
        <v>354</v>
      </c>
      <c r="E267" s="24">
        <v>3.37</v>
      </c>
      <c r="F267" s="24">
        <v>3.4</v>
      </c>
      <c r="G267" s="24">
        <v>2.72</v>
      </c>
      <c r="H267" s="25">
        <f t="shared" si="14"/>
        <v>-0.64999999999999991</v>
      </c>
      <c r="I267" s="29">
        <f t="shared" si="15"/>
        <v>0.71</v>
      </c>
    </row>
    <row r="268" spans="1:9" hidden="1">
      <c r="A268" s="13"/>
      <c r="B268" s="13"/>
      <c r="C268" s="22" t="e">
        <f>POWER(C4-E268,2)+POWER(C6-F268,2)+POWER(C8-G268,2)</f>
        <v>#NUM!</v>
      </c>
      <c r="D268" s="23" t="s">
        <v>355</v>
      </c>
      <c r="E268" s="24">
        <v>3.56</v>
      </c>
      <c r="F268" s="24">
        <v>3.79</v>
      </c>
      <c r="G268" s="24">
        <v>2.94</v>
      </c>
      <c r="H268" s="25">
        <f t="shared" si="14"/>
        <v>-0.62000000000000011</v>
      </c>
      <c r="I268" s="29">
        <f t="shared" si="15"/>
        <v>1.08</v>
      </c>
    </row>
    <row r="269" spans="1:9" hidden="1">
      <c r="A269" s="13"/>
      <c r="B269" s="13"/>
      <c r="C269" s="22" t="e">
        <f>POWER(C4-E269,2)+POWER(C6-F269,2)+POWER(C8-G269,2)</f>
        <v>#NUM!</v>
      </c>
      <c r="D269" s="23" t="s">
        <v>356</v>
      </c>
      <c r="E269" s="24">
        <v>4.5</v>
      </c>
      <c r="F269" s="24">
        <v>3.82</v>
      </c>
      <c r="G269" s="24">
        <v>2.85</v>
      </c>
      <c r="H269" s="25">
        <f t="shared" si="14"/>
        <v>-1.65</v>
      </c>
      <c r="I269" s="29">
        <f t="shared" si="15"/>
        <v>0.29000000000000004</v>
      </c>
    </row>
    <row r="270" spans="1:9" hidden="1">
      <c r="A270" s="13"/>
      <c r="B270" s="13"/>
      <c r="C270" s="22" t="e">
        <f>POWER(C4-E270,2)+POWER(C6-F270,2)+POWER(C8-G270,2)</f>
        <v>#NUM!</v>
      </c>
      <c r="D270" s="23" t="s">
        <v>357</v>
      </c>
      <c r="E270" s="24">
        <v>4.7</v>
      </c>
      <c r="F270" s="24">
        <v>4.24</v>
      </c>
      <c r="G270" s="24">
        <v>2.12</v>
      </c>
      <c r="H270" s="25">
        <f t="shared" si="14"/>
        <v>-2.58</v>
      </c>
      <c r="I270" s="29">
        <f t="shared" si="15"/>
        <v>1.6600000000000001</v>
      </c>
    </row>
    <row r="271" spans="1:9" hidden="1">
      <c r="A271" s="13"/>
      <c r="B271" s="13"/>
      <c r="C271" s="22" t="e">
        <f>POWER(C4-E271,2)+POWER(C6-F271,2)+POWER(C8-G271,2)</f>
        <v>#NUM!</v>
      </c>
      <c r="D271" s="23" t="s">
        <v>358</v>
      </c>
      <c r="E271" s="24">
        <v>4.16</v>
      </c>
      <c r="F271" s="24">
        <v>3.6</v>
      </c>
      <c r="G271" s="24">
        <v>2.52</v>
      </c>
      <c r="H271" s="25">
        <f t="shared" si="14"/>
        <v>-1.6400000000000001</v>
      </c>
      <c r="I271" s="29">
        <f t="shared" si="15"/>
        <v>0.52000000000000046</v>
      </c>
    </row>
    <row r="272" spans="1:9" hidden="1">
      <c r="A272" s="13"/>
      <c r="B272" s="13"/>
      <c r="C272" s="22" t="e">
        <f>POWER(C4-E272,2)+POWER(C6-F272,2)+POWER(C8-G272,2)</f>
        <v>#NUM!</v>
      </c>
      <c r="D272" s="23" t="s">
        <v>359</v>
      </c>
      <c r="E272" s="24">
        <v>3.92</v>
      </c>
      <c r="F272" s="24">
        <v>3.96</v>
      </c>
      <c r="G272" s="24">
        <v>2.37</v>
      </c>
      <c r="H272" s="25">
        <f t="shared" si="14"/>
        <v>-1.5499999999999998</v>
      </c>
      <c r="I272" s="29">
        <f t="shared" si="15"/>
        <v>1.63</v>
      </c>
    </row>
    <row r="273" spans="1:9" hidden="1">
      <c r="A273" s="13"/>
      <c r="B273" s="13"/>
      <c r="C273" s="22" t="e">
        <f>POWER(C4-E273,2)+POWER(C6-F273,2)+POWER(C8-G273,2)</f>
        <v>#NUM!</v>
      </c>
      <c r="D273" s="23" t="s">
        <v>360</v>
      </c>
      <c r="E273" s="24">
        <v>4.43</v>
      </c>
      <c r="F273" s="24">
        <v>4.34</v>
      </c>
      <c r="G273" s="24">
        <v>1.96</v>
      </c>
      <c r="H273" s="25">
        <f t="shared" si="14"/>
        <v>-2.4699999999999998</v>
      </c>
      <c r="I273" s="29">
        <f t="shared" si="15"/>
        <v>2.29</v>
      </c>
    </row>
    <row r="274" spans="1:9" hidden="1">
      <c r="A274" s="13"/>
      <c r="B274" s="13"/>
      <c r="C274" s="22" t="e">
        <f>POWER(C4-E274,2)+POWER(C6-F274,2)+POWER(C8-G274,2)</f>
        <v>#NUM!</v>
      </c>
      <c r="D274" s="23" t="s">
        <v>361</v>
      </c>
      <c r="E274" s="24">
        <v>3.7</v>
      </c>
      <c r="F274" s="24">
        <v>4.5</v>
      </c>
      <c r="G274" s="24">
        <v>2.2000000000000002</v>
      </c>
      <c r="H274" s="25">
        <f t="shared" si="14"/>
        <v>-1.5</v>
      </c>
      <c r="I274" s="29">
        <f t="shared" si="15"/>
        <v>3.0999999999999996</v>
      </c>
    </row>
    <row r="275" spans="1:9" hidden="1">
      <c r="A275" s="13"/>
      <c r="B275" s="13"/>
      <c r="C275" s="22" t="e">
        <f>POWER(C4-E275,2)+POWER(C6-F275,2)+POWER(C8-G275,2)</f>
        <v>#NUM!</v>
      </c>
      <c r="D275" s="23" t="s">
        <v>362</v>
      </c>
      <c r="E275" s="24">
        <v>3.51</v>
      </c>
      <c r="F275" s="24">
        <v>3.53</v>
      </c>
      <c r="G275" s="24">
        <v>3.62</v>
      </c>
      <c r="H275" s="25">
        <f t="shared" si="14"/>
        <v>0.11000000000000032</v>
      </c>
      <c r="I275" s="29">
        <f t="shared" si="15"/>
        <v>-7.0000000000000284E-2</v>
      </c>
    </row>
    <row r="276" spans="1:9" hidden="1">
      <c r="A276" s="13"/>
      <c r="B276" s="13"/>
      <c r="C276" s="22" t="e">
        <f>POWER(C4-E276,2)+POWER(C6-F276,2)+POWER(C8-G276,2)</f>
        <v>#NUM!</v>
      </c>
      <c r="D276" s="23" t="s">
        <v>363</v>
      </c>
      <c r="E276" s="24">
        <v>3.49</v>
      </c>
      <c r="F276" s="24">
        <v>3.4</v>
      </c>
      <c r="G276" s="24">
        <v>3.45</v>
      </c>
      <c r="H276" s="25">
        <f t="shared" si="14"/>
        <v>-4.0000000000000036E-2</v>
      </c>
      <c r="I276" s="29">
        <f t="shared" si="15"/>
        <v>-0.14000000000000057</v>
      </c>
    </row>
    <row r="277" spans="1:9" hidden="1">
      <c r="A277" s="13"/>
      <c r="B277" s="13"/>
      <c r="C277" s="22" t="e">
        <f>POWER(C4-E277,2)+POWER(C6-F277,2)+POWER(C8-G277,2)</f>
        <v>#NUM!</v>
      </c>
      <c r="D277" s="23" t="s">
        <v>364</v>
      </c>
      <c r="E277" s="24">
        <v>3.8</v>
      </c>
      <c r="F277" s="24">
        <v>3.83</v>
      </c>
      <c r="G277" s="24">
        <v>2.75</v>
      </c>
      <c r="H277" s="25">
        <f t="shared" si="14"/>
        <v>-1.0499999999999998</v>
      </c>
      <c r="I277" s="29">
        <f t="shared" si="15"/>
        <v>1.1100000000000003</v>
      </c>
    </row>
    <row r="278" spans="1:9" hidden="1">
      <c r="A278" s="13"/>
      <c r="B278" s="13"/>
      <c r="C278" s="22" t="e">
        <f>POWER(C4-E278,2)+POWER(C6-F278,2)+POWER(C8-G278,2)</f>
        <v>#NUM!</v>
      </c>
      <c r="D278" s="23" t="s">
        <v>365</v>
      </c>
      <c r="E278" s="24">
        <v>4.18</v>
      </c>
      <c r="F278" s="24">
        <v>3.73</v>
      </c>
      <c r="G278" s="24">
        <v>2.57</v>
      </c>
      <c r="H278" s="25">
        <f t="shared" si="14"/>
        <v>-1.6099999999999999</v>
      </c>
      <c r="I278" s="29">
        <f t="shared" si="15"/>
        <v>0.71</v>
      </c>
    </row>
    <row r="279" spans="1:9" hidden="1">
      <c r="A279" s="13"/>
      <c r="B279" s="13"/>
      <c r="C279" s="22" t="e">
        <f>POWER(C4-E279,2)+POWER(C6-F279,2)+POWER(C8-G279,2)</f>
        <v>#NUM!</v>
      </c>
      <c r="D279" s="23" t="s">
        <v>366</v>
      </c>
      <c r="E279" s="24">
        <v>4.08</v>
      </c>
      <c r="F279" s="24">
        <v>3.66</v>
      </c>
      <c r="G279" s="24">
        <v>2.7</v>
      </c>
      <c r="H279" s="25">
        <f t="shared" si="14"/>
        <v>-1.38</v>
      </c>
      <c r="I279" s="29">
        <f t="shared" si="15"/>
        <v>0.54</v>
      </c>
    </row>
    <row r="280" spans="1:9" hidden="1">
      <c r="A280" s="13"/>
      <c r="B280" s="13"/>
      <c r="C280" s="22" t="e">
        <f>POWER(C4-E280,2)+POWER(C6-F280,2)+POWER(C8-G280,2)</f>
        <v>#NUM!</v>
      </c>
      <c r="D280" s="23" t="s">
        <v>367</v>
      </c>
      <c r="E280" s="24">
        <v>3.77</v>
      </c>
      <c r="F280" s="24">
        <v>3.44</v>
      </c>
      <c r="G280" s="24">
        <v>3.01</v>
      </c>
      <c r="H280" s="25">
        <f t="shared" si="14"/>
        <v>-0.76000000000000023</v>
      </c>
      <c r="I280" s="29">
        <f t="shared" si="15"/>
        <v>0.10000000000000053</v>
      </c>
    </row>
    <row r="281" spans="1:9" hidden="1">
      <c r="A281" s="9"/>
      <c r="B281" s="9"/>
      <c r="C281" s="22" t="e">
        <f>POWER(C4-E281,2)+POWER(C6-F281,2)+POWER(C8-G281,2)</f>
        <v>#NUM!</v>
      </c>
      <c r="D281" s="23" t="s">
        <v>368</v>
      </c>
      <c r="E281" s="24">
        <v>3.58</v>
      </c>
      <c r="F281" s="24">
        <v>4</v>
      </c>
      <c r="G281" s="24">
        <v>2.54</v>
      </c>
      <c r="H281" s="25">
        <f t="shared" si="14"/>
        <v>-1.04</v>
      </c>
      <c r="I281" s="29">
        <f t="shared" si="15"/>
        <v>1.88</v>
      </c>
    </row>
    <row r="282" spans="1:9" hidden="1">
      <c r="A282" s="9"/>
      <c r="B282" s="9"/>
      <c r="C282" s="22" t="e">
        <f>POWER(C4-E282,2)+POWER(C6-F282,2)+POWER(C8-G282,2)</f>
        <v>#NUM!</v>
      </c>
      <c r="D282" s="23" t="s">
        <v>369</v>
      </c>
      <c r="E282" s="24">
        <v>4.0999999999999996</v>
      </c>
      <c r="F282" s="24">
        <v>4.5</v>
      </c>
      <c r="G282" s="24">
        <v>2.4</v>
      </c>
      <c r="H282" s="25">
        <f t="shared" si="14"/>
        <v>-1.6999999999999997</v>
      </c>
      <c r="I282" s="29">
        <f t="shared" si="15"/>
        <v>2.5</v>
      </c>
    </row>
    <row r="283" spans="1:9" hidden="1">
      <c r="A283" s="9"/>
      <c r="B283" s="9"/>
      <c r="C283" s="22" t="e">
        <f>POWER(C4-E283,2)+POWER(C6-F283,2)+POWER(C8-G283,2)</f>
        <v>#NUM!</v>
      </c>
      <c r="D283" s="23" t="s">
        <v>370</v>
      </c>
      <c r="E283" s="24">
        <v>3.2</v>
      </c>
      <c r="F283" s="24">
        <v>3.9</v>
      </c>
      <c r="G283" s="24">
        <v>3</v>
      </c>
      <c r="H283" s="25">
        <f t="shared" si="14"/>
        <v>-0.20000000000000018</v>
      </c>
      <c r="I283" s="29">
        <f t="shared" si="15"/>
        <v>1.5999999999999996</v>
      </c>
    </row>
    <row r="284" spans="1:9" hidden="1">
      <c r="A284" s="9"/>
      <c r="B284" s="9"/>
      <c r="C284" s="22" t="e">
        <f>POWER(C4-E284,2)+POWER(C6-F284,2)+POWER(C8-G284,2)</f>
        <v>#NUM!</v>
      </c>
      <c r="D284" s="23" t="s">
        <v>371</v>
      </c>
      <c r="E284" s="24">
        <v>2.4300000000000002</v>
      </c>
      <c r="F284" s="24">
        <v>3.32</v>
      </c>
      <c r="G284" s="24">
        <v>4.17</v>
      </c>
      <c r="H284" s="25">
        <f t="shared" si="14"/>
        <v>1.7399999999999998</v>
      </c>
      <c r="I284" s="29">
        <f t="shared" si="15"/>
        <v>4.0000000000000036E-2</v>
      </c>
    </row>
    <row r="285" spans="1:9" hidden="1">
      <c r="A285" s="9"/>
      <c r="B285" s="9"/>
      <c r="C285" s="22" t="e">
        <f>POWER(C4-E285,2)+POWER(C6-F285,2)+POWER(C8-G285,2)</f>
        <v>#NUM!</v>
      </c>
      <c r="D285" s="23" t="s">
        <v>372</v>
      </c>
      <c r="E285" s="24">
        <v>3.7</v>
      </c>
      <c r="F285" s="24">
        <v>4.3600000000000003</v>
      </c>
      <c r="G285" s="24">
        <v>2.44</v>
      </c>
      <c r="H285" s="25">
        <f t="shared" si="14"/>
        <v>-1.2600000000000002</v>
      </c>
      <c r="I285" s="29">
        <f t="shared" si="15"/>
        <v>2.58</v>
      </c>
    </row>
    <row r="286" spans="1:9" hidden="1">
      <c r="A286" s="9"/>
      <c r="B286" s="9"/>
      <c r="C286" s="22" t="e">
        <f>POWER(C4-E286,2)+POWER(C6-F286,2)+POWER(C8-G286,2)</f>
        <v>#NUM!</v>
      </c>
      <c r="D286" s="23" t="s">
        <v>373</v>
      </c>
      <c r="E286" s="24">
        <v>3.9</v>
      </c>
      <c r="F286" s="24">
        <v>3.93</v>
      </c>
      <c r="G286" s="24">
        <v>2.06</v>
      </c>
      <c r="H286" s="25">
        <f t="shared" si="14"/>
        <v>-1.8399999999999999</v>
      </c>
      <c r="I286" s="29">
        <f t="shared" si="15"/>
        <v>1.9000000000000004</v>
      </c>
    </row>
    <row r="287" spans="1:9" hidden="1">
      <c r="A287" s="9"/>
      <c r="B287" s="9"/>
      <c r="C287" s="22" t="e">
        <f>POWER(C4-E287,2)+POWER(C6-F287,2)+POWER(C8-G287,2)</f>
        <v>#NUM!</v>
      </c>
      <c r="D287" s="23" t="s">
        <v>374</v>
      </c>
      <c r="E287" s="24">
        <v>4.28</v>
      </c>
      <c r="F287" s="24">
        <v>4.05</v>
      </c>
      <c r="G287" s="24">
        <v>2.56</v>
      </c>
      <c r="H287" s="25">
        <f t="shared" si="14"/>
        <v>-1.7200000000000002</v>
      </c>
      <c r="I287" s="29">
        <f t="shared" si="15"/>
        <v>1.2599999999999998</v>
      </c>
    </row>
    <row r="288" spans="1:9" hidden="1">
      <c r="A288" s="52"/>
      <c r="B288" s="52"/>
      <c r="C288" s="22" t="e">
        <f>POWER(C4-E288,2)+POWER(C6-F288,2)+POWER(C8-G288,2)</f>
        <v>#NUM!</v>
      </c>
      <c r="D288" s="23" t="s">
        <v>375</v>
      </c>
      <c r="E288" s="24">
        <v>4.62</v>
      </c>
      <c r="F288" s="24">
        <v>3.56</v>
      </c>
      <c r="G288" s="24">
        <v>2.64</v>
      </c>
      <c r="H288" s="25">
        <f t="shared" ref="H288:H319" si="16">G288-E288</f>
        <v>-1.98</v>
      </c>
      <c r="I288" s="29">
        <f t="shared" ref="I288:I300" si="17">2*F288-(G288+E288)</f>
        <v>-0.13999999999999968</v>
      </c>
    </row>
    <row r="289" spans="1:9" hidden="1">
      <c r="A289" s="52"/>
      <c r="B289" s="52"/>
      <c r="C289" s="22" t="e">
        <f>POWER(C4-E289,2)+POWER(C6-F289,2)+POWER(C8-G289,2)</f>
        <v>#NUM!</v>
      </c>
      <c r="D289" s="23" t="s">
        <v>376</v>
      </c>
      <c r="E289" s="24">
        <v>3.1</v>
      </c>
      <c r="F289" s="24">
        <v>3.9</v>
      </c>
      <c r="G289" s="24">
        <v>2.8</v>
      </c>
      <c r="H289" s="25">
        <f t="shared" si="16"/>
        <v>-0.30000000000000027</v>
      </c>
      <c r="I289" s="29">
        <f t="shared" si="17"/>
        <v>1.8999999999999995</v>
      </c>
    </row>
    <row r="290" spans="1:9" hidden="1">
      <c r="A290" s="52"/>
      <c r="B290" s="52"/>
      <c r="C290" s="22" t="e">
        <f>POWER(C4-E290,2)+POWER(C6-F290,2)+POWER(C8-G290,2)</f>
        <v>#NUM!</v>
      </c>
      <c r="D290" s="23" t="s">
        <v>377</v>
      </c>
      <c r="E290" s="24">
        <v>3.8</v>
      </c>
      <c r="F290" s="24">
        <v>4.3</v>
      </c>
      <c r="G290" s="24">
        <v>2.7</v>
      </c>
      <c r="H290" s="25">
        <f t="shared" si="16"/>
        <v>-1.0999999999999996</v>
      </c>
      <c r="I290" s="29">
        <f t="shared" si="17"/>
        <v>2.0999999999999996</v>
      </c>
    </row>
    <row r="291" spans="1:9" hidden="1">
      <c r="A291" s="52"/>
      <c r="B291" s="52"/>
      <c r="C291" s="22" t="e">
        <f>POWER(C4-E291,2)+POWER(C6-F291,2)+POWER(C8-G291,2)</f>
        <v>#NUM!</v>
      </c>
      <c r="D291" s="23" t="s">
        <v>378</v>
      </c>
      <c r="E291" s="24">
        <v>3.4</v>
      </c>
      <c r="F291" s="24">
        <v>4</v>
      </c>
      <c r="G291" s="24">
        <v>2.8</v>
      </c>
      <c r="H291" s="25">
        <f t="shared" si="16"/>
        <v>-0.60000000000000009</v>
      </c>
      <c r="I291" s="29">
        <f t="shared" si="17"/>
        <v>1.8000000000000007</v>
      </c>
    </row>
    <row r="292" spans="1:9" hidden="1">
      <c r="A292" s="52"/>
      <c r="B292" s="52"/>
      <c r="C292" s="22" t="e">
        <f>POWER(C4-E292,2)+POWER(C6-F292,2)+POWER(C8-G292,2)</f>
        <v>#NUM!</v>
      </c>
      <c r="D292" s="23" t="s">
        <v>379</v>
      </c>
      <c r="E292" s="24">
        <v>2.9</v>
      </c>
      <c r="F292" s="24">
        <v>4.0999999999999996</v>
      </c>
      <c r="G292" s="24">
        <v>2.9</v>
      </c>
      <c r="H292" s="25">
        <f t="shared" si="16"/>
        <v>0</v>
      </c>
      <c r="I292" s="29">
        <f t="shared" si="17"/>
        <v>2.3999999999999995</v>
      </c>
    </row>
    <row r="293" spans="1:9" hidden="1">
      <c r="A293" s="52"/>
      <c r="B293" s="52"/>
      <c r="C293" s="22" t="e">
        <f>POWER(C4-E293,2)+POWER(C6-F293,2)+POWER(C8-G293,2)</f>
        <v>#NUM!</v>
      </c>
      <c r="D293" s="23" t="s">
        <v>380</v>
      </c>
      <c r="E293" s="24">
        <v>3</v>
      </c>
      <c r="F293" s="24">
        <v>3.5</v>
      </c>
      <c r="G293" s="24">
        <v>3.5</v>
      </c>
      <c r="H293" s="25">
        <f t="shared" si="16"/>
        <v>0.5</v>
      </c>
      <c r="I293" s="29">
        <f t="shared" si="17"/>
        <v>0.5</v>
      </c>
    </row>
    <row r="294" spans="1:9" hidden="1">
      <c r="A294" s="52"/>
      <c r="B294" s="52"/>
      <c r="C294" s="22" t="e">
        <f>POWER(C4-E294,2)+POWER(C6-F294,2)+POWER(C8-G294,2)</f>
        <v>#NUM!</v>
      </c>
      <c r="D294" s="23" t="s">
        <v>381</v>
      </c>
      <c r="E294" s="24">
        <v>4.92</v>
      </c>
      <c r="F294" s="24">
        <v>4.2300000000000004</v>
      </c>
      <c r="G294" s="24">
        <v>2.5099999999999998</v>
      </c>
      <c r="H294" s="25">
        <f t="shared" si="16"/>
        <v>-2.41</v>
      </c>
      <c r="I294" s="29">
        <f t="shared" si="17"/>
        <v>1.0300000000000011</v>
      </c>
    </row>
    <row r="295" spans="1:9" hidden="1">
      <c r="A295" s="52"/>
      <c r="B295" s="52"/>
      <c r="C295" s="22" t="e">
        <f>POWER(C4-E295,2)+POWER(C6-F295,2)+POWER(C8-G295,2)</f>
        <v>#NUM!</v>
      </c>
      <c r="D295" s="23" t="s">
        <v>382</v>
      </c>
      <c r="E295" s="24">
        <v>3.4</v>
      </c>
      <c r="F295" s="24">
        <v>3.54</v>
      </c>
      <c r="G295" s="24">
        <v>3.47</v>
      </c>
      <c r="H295" s="25">
        <f t="shared" si="16"/>
        <v>7.0000000000000284E-2</v>
      </c>
      <c r="I295" s="29">
        <f t="shared" si="17"/>
        <v>0.20999999999999996</v>
      </c>
    </row>
    <row r="296" spans="1:9" hidden="1">
      <c r="A296" s="52"/>
      <c r="B296" s="52"/>
      <c r="C296" s="22" t="e">
        <f>POWER(C4-E296,2)+POWER(C6-F296,2)+POWER(C8-G296,2)</f>
        <v>#NUM!</v>
      </c>
      <c r="D296" s="23" t="s">
        <v>383</v>
      </c>
      <c r="E296" s="24">
        <v>4.0599999999999996</v>
      </c>
      <c r="F296" s="24">
        <v>3.82</v>
      </c>
      <c r="G296" s="24">
        <v>2.82</v>
      </c>
      <c r="H296" s="25">
        <f t="shared" si="16"/>
        <v>-1.2399999999999998</v>
      </c>
      <c r="I296" s="29">
        <f t="shared" si="17"/>
        <v>0.76000000000000068</v>
      </c>
    </row>
    <row r="297" spans="1:9" hidden="1">
      <c r="A297" s="52"/>
      <c r="B297" s="52"/>
      <c r="C297" s="22" t="e">
        <f>POWER(C4-E297,2)+POWER(C6-F297,2)+POWER(C8-G297,2)</f>
        <v>#NUM!</v>
      </c>
      <c r="D297" s="23" t="s">
        <v>384</v>
      </c>
      <c r="E297" s="24">
        <v>4.2</v>
      </c>
      <c r="F297" s="24">
        <v>3.79</v>
      </c>
      <c r="G297" s="24">
        <v>2.6</v>
      </c>
      <c r="H297" s="25">
        <f t="shared" si="16"/>
        <v>-1.6</v>
      </c>
      <c r="I297" s="29">
        <f t="shared" si="17"/>
        <v>0.77999999999999936</v>
      </c>
    </row>
    <row r="298" spans="1:9" hidden="1">
      <c r="A298" s="52"/>
      <c r="B298" s="52"/>
      <c r="C298" s="22" t="e">
        <f>POWER(C4-E298,2)+POWER(C6-F298,2)+POWER(C8-G298,2)</f>
        <v>#NUM!</v>
      </c>
      <c r="D298" s="23" t="s">
        <v>385</v>
      </c>
      <c r="E298" s="24">
        <v>4.3899999999999997</v>
      </c>
      <c r="F298" s="24">
        <v>3.96</v>
      </c>
      <c r="G298" s="24">
        <v>2.38</v>
      </c>
      <c r="H298" s="25">
        <f t="shared" si="16"/>
        <v>-2.0099999999999998</v>
      </c>
      <c r="I298" s="29">
        <f t="shared" si="17"/>
        <v>1.1500000000000004</v>
      </c>
    </row>
    <row r="299" spans="1:9" hidden="1">
      <c r="A299" s="52"/>
      <c r="B299" s="52"/>
      <c r="C299" s="22" t="e">
        <f>POWER(C4-E299,2)+POWER(C6-F299,2)+POWER(C8-G299,2)</f>
        <v>#NUM!</v>
      </c>
      <c r="D299" s="23" t="s">
        <v>386</v>
      </c>
      <c r="E299" s="24">
        <v>4.26</v>
      </c>
      <c r="F299" s="24">
        <v>3.52</v>
      </c>
      <c r="G299" s="24">
        <v>2.63</v>
      </c>
      <c r="H299" s="25">
        <f t="shared" si="16"/>
        <v>-1.63</v>
      </c>
      <c r="I299" s="29">
        <f t="shared" si="17"/>
        <v>0.15000000000000036</v>
      </c>
    </row>
    <row r="300" spans="1:9" hidden="1">
      <c r="A300" s="52"/>
      <c r="B300" s="52"/>
      <c r="C300" s="22" t="e">
        <f>POWER(C4-E300,2)+POWER(C6-F300,2)+POWER(C8-G300,2)</f>
        <v>#NUM!</v>
      </c>
      <c r="D300" s="23" t="s">
        <v>387</v>
      </c>
      <c r="E300" s="24">
        <v>4.29</v>
      </c>
      <c r="F300" s="24">
        <v>3.44</v>
      </c>
      <c r="G300" s="24">
        <v>2.58</v>
      </c>
      <c r="H300" s="25">
        <f t="shared" si="16"/>
        <v>-1.71</v>
      </c>
      <c r="I300" s="29">
        <f t="shared" si="17"/>
        <v>9.9999999999997868E-3</v>
      </c>
    </row>
    <row r="301" spans="1:9">
      <c r="A301" s="52"/>
      <c r="B301" s="52"/>
      <c r="C301" s="111"/>
      <c r="D301" s="52"/>
      <c r="E301" s="52"/>
      <c r="F301" s="52"/>
      <c r="G301" s="52"/>
      <c r="H301" s="52"/>
      <c r="I301" s="111"/>
    </row>
    <row r="302" spans="1:9">
      <c r="A302" s="52"/>
      <c r="B302" s="52"/>
      <c r="C302" s="111"/>
      <c r="D302" s="52"/>
      <c r="E302" s="52"/>
      <c r="F302" s="52"/>
      <c r="G302" s="52"/>
      <c r="H302" s="52"/>
      <c r="I302" s="111"/>
    </row>
    <row r="303" spans="1:9">
      <c r="A303" s="52"/>
      <c r="B303" s="52"/>
      <c r="C303" s="111"/>
      <c r="D303" s="52"/>
      <c r="E303" s="52"/>
      <c r="F303" s="52"/>
      <c r="G303" s="52"/>
      <c r="H303" s="52"/>
      <c r="I303" s="111"/>
    </row>
    <row r="304" spans="1:9">
      <c r="A304" s="52"/>
      <c r="B304" s="52"/>
      <c r="C304" s="111"/>
      <c r="D304" s="52"/>
      <c r="E304" s="52"/>
      <c r="F304" s="52"/>
      <c r="G304" s="52"/>
      <c r="H304" s="52"/>
      <c r="I304" s="111"/>
    </row>
    <row r="305" spans="1:9">
      <c r="A305" s="52"/>
      <c r="B305" s="52"/>
      <c r="C305" s="111"/>
      <c r="D305" s="52"/>
      <c r="E305" s="52"/>
      <c r="F305" s="52"/>
      <c r="G305" s="52"/>
      <c r="H305" s="52"/>
      <c r="I305" s="111"/>
    </row>
    <row r="306" spans="1:9">
      <c r="A306" s="52"/>
      <c r="B306" s="52"/>
      <c r="C306" s="111"/>
      <c r="D306" s="52"/>
      <c r="E306" s="52"/>
      <c r="F306" s="52"/>
      <c r="G306" s="52"/>
      <c r="H306" s="52"/>
      <c r="I306" s="111"/>
    </row>
    <row r="307" spans="1:9">
      <c r="A307" s="52"/>
      <c r="B307" s="52"/>
      <c r="C307" s="111"/>
      <c r="D307" s="52"/>
      <c r="E307" s="52"/>
      <c r="F307" s="52"/>
      <c r="G307" s="52"/>
      <c r="H307" s="52"/>
      <c r="I307" s="111"/>
    </row>
    <row r="308" spans="1:9">
      <c r="A308" s="52"/>
      <c r="B308" s="52"/>
      <c r="C308" s="111"/>
      <c r="D308" s="52"/>
      <c r="E308" s="52"/>
      <c r="F308" s="52"/>
      <c r="G308" s="52"/>
      <c r="H308" s="52"/>
      <c r="I308" s="111"/>
    </row>
    <row r="309" spans="1:9">
      <c r="A309" s="52"/>
      <c r="B309" s="52"/>
      <c r="C309" s="111"/>
      <c r="D309" s="52"/>
      <c r="E309" s="52"/>
      <c r="F309" s="52"/>
      <c r="G309" s="52"/>
      <c r="H309" s="52"/>
      <c r="I309" s="111"/>
    </row>
    <row r="310" spans="1:9">
      <c r="A310" s="52"/>
      <c r="B310" s="52"/>
      <c r="C310" s="111"/>
      <c r="D310" s="52"/>
      <c r="E310" s="52"/>
      <c r="F310" s="52"/>
      <c r="G310" s="52"/>
      <c r="H310" s="52"/>
      <c r="I310" s="111"/>
    </row>
    <row r="311" spans="1:9">
      <c r="A311" s="52"/>
      <c r="B311" s="52"/>
      <c r="C311" s="111"/>
      <c r="D311" s="52"/>
      <c r="E311" s="52"/>
      <c r="F311" s="52"/>
      <c r="G311" s="52"/>
      <c r="H311" s="52"/>
      <c r="I311" s="111"/>
    </row>
    <row r="312" spans="1:9">
      <c r="A312" s="52"/>
      <c r="B312" s="52"/>
      <c r="C312" s="111"/>
      <c r="D312" s="52"/>
      <c r="E312" s="52"/>
      <c r="F312" s="52"/>
      <c r="G312" s="52"/>
      <c r="H312" s="52"/>
      <c r="I312" s="111"/>
    </row>
    <row r="313" spans="1:9">
      <c r="A313" s="52"/>
      <c r="B313" s="52"/>
      <c r="C313" s="111"/>
      <c r="D313" s="52"/>
      <c r="E313" s="52"/>
      <c r="F313" s="52"/>
      <c r="G313" s="52"/>
      <c r="H313" s="52"/>
      <c r="I313" s="111"/>
    </row>
    <row r="314" spans="1:9">
      <c r="A314" s="52"/>
      <c r="B314" s="52"/>
      <c r="C314" s="111"/>
      <c r="D314" s="52"/>
      <c r="E314" s="52"/>
      <c r="F314" s="52"/>
      <c r="G314" s="52"/>
      <c r="H314" s="52"/>
      <c r="I314" s="111"/>
    </row>
    <row r="315" spans="1:9">
      <c r="A315" s="52"/>
      <c r="B315" s="52"/>
      <c r="C315" s="111"/>
      <c r="D315" s="52"/>
      <c r="E315" s="52"/>
      <c r="F315" s="52"/>
      <c r="G315" s="52"/>
      <c r="H315" s="52"/>
      <c r="I315" s="111"/>
    </row>
    <row r="316" spans="1:9">
      <c r="A316" s="52"/>
      <c r="B316" s="52"/>
      <c r="C316" s="111"/>
      <c r="D316" s="52"/>
      <c r="E316" s="52"/>
      <c r="F316" s="52"/>
      <c r="G316" s="52"/>
      <c r="H316" s="52"/>
      <c r="I316" s="111"/>
    </row>
    <row r="317" spans="1:9">
      <c r="A317" s="52"/>
      <c r="B317" s="52"/>
      <c r="C317" s="111"/>
      <c r="D317" s="52"/>
      <c r="E317" s="52"/>
      <c r="F317" s="52"/>
      <c r="G317" s="52"/>
      <c r="H317" s="52"/>
      <c r="I317" s="111"/>
    </row>
    <row r="318" spans="1:9">
      <c r="A318" s="52"/>
      <c r="B318" s="52"/>
      <c r="C318" s="111"/>
      <c r="D318" s="52"/>
      <c r="E318" s="52"/>
      <c r="F318" s="52"/>
      <c r="G318" s="52"/>
      <c r="H318" s="52"/>
      <c r="I318" s="111"/>
    </row>
    <row r="319" spans="1:9">
      <c r="A319" s="52"/>
      <c r="B319" s="52"/>
      <c r="C319" s="111"/>
      <c r="D319" s="52"/>
      <c r="E319" s="52"/>
      <c r="F319" s="52"/>
      <c r="G319" s="52"/>
      <c r="H319" s="52"/>
      <c r="I319" s="111"/>
    </row>
    <row r="320" spans="1:9">
      <c r="A320" s="52"/>
      <c r="B320" s="52"/>
      <c r="C320" s="111"/>
      <c r="D320" s="52"/>
      <c r="E320" s="52"/>
      <c r="F320" s="52"/>
      <c r="G320" s="52"/>
      <c r="H320" s="52"/>
      <c r="I320" s="111"/>
    </row>
    <row r="321" spans="1:9">
      <c r="A321" s="52"/>
      <c r="B321" s="52"/>
      <c r="C321" s="111"/>
      <c r="D321" s="52"/>
      <c r="E321" s="52"/>
      <c r="F321" s="52"/>
      <c r="G321" s="52"/>
      <c r="H321" s="52"/>
      <c r="I321" s="111"/>
    </row>
    <row r="322" spans="1:9">
      <c r="A322" s="52"/>
      <c r="B322" s="52"/>
      <c r="C322" s="111"/>
      <c r="D322" s="52"/>
      <c r="E322" s="52"/>
      <c r="F322" s="52"/>
      <c r="G322" s="52"/>
      <c r="H322" s="52"/>
      <c r="I322" s="111"/>
    </row>
    <row r="323" spans="1:9">
      <c r="A323" s="52"/>
      <c r="B323" s="52"/>
      <c r="C323" s="111"/>
      <c r="D323" s="52"/>
      <c r="E323" s="52"/>
      <c r="F323" s="52"/>
      <c r="G323" s="52"/>
      <c r="H323" s="52"/>
      <c r="I323" s="111"/>
    </row>
    <row r="324" spans="1:9">
      <c r="A324" s="52"/>
      <c r="B324" s="52"/>
      <c r="C324" s="111"/>
      <c r="D324" s="52"/>
      <c r="E324" s="52"/>
      <c r="F324" s="52"/>
      <c r="G324" s="52"/>
      <c r="H324" s="52"/>
      <c r="I324" s="111"/>
    </row>
    <row r="325" spans="1:9">
      <c r="A325" s="52"/>
      <c r="B325" s="52"/>
      <c r="C325" s="111"/>
      <c r="D325" s="52"/>
      <c r="E325" s="52"/>
      <c r="F325" s="52"/>
      <c r="G325" s="52"/>
      <c r="H325" s="52"/>
      <c r="I325" s="111"/>
    </row>
    <row r="326" spans="1:9">
      <c r="A326" s="52"/>
      <c r="B326" s="52"/>
      <c r="C326" s="111"/>
      <c r="D326" s="52"/>
      <c r="E326" s="52"/>
      <c r="F326" s="52"/>
      <c r="G326" s="52"/>
      <c r="H326" s="52"/>
      <c r="I326" s="111"/>
    </row>
    <row r="327" spans="1:9">
      <c r="A327" s="52"/>
      <c r="B327" s="52"/>
      <c r="C327" s="111"/>
      <c r="D327" s="52"/>
      <c r="E327" s="52"/>
      <c r="F327" s="52"/>
      <c r="G327" s="52"/>
      <c r="H327" s="52"/>
      <c r="I327" s="111"/>
    </row>
    <row r="328" spans="1:9">
      <c r="A328" s="52"/>
      <c r="B328" s="52"/>
      <c r="C328" s="111"/>
      <c r="D328" s="52"/>
      <c r="E328" s="52"/>
      <c r="F328" s="52"/>
      <c r="G328" s="52"/>
      <c r="H328" s="52"/>
      <c r="I328" s="111"/>
    </row>
    <row r="329" spans="1:9">
      <c r="A329" s="9"/>
      <c r="B329" s="9"/>
      <c r="C329" s="17"/>
      <c r="D329" s="9"/>
      <c r="E329" s="9"/>
      <c r="F329" s="9"/>
      <c r="G329" s="9"/>
      <c r="H329" s="9"/>
      <c r="I329" s="17"/>
    </row>
    <row r="330" spans="1:9">
      <c r="A330" s="9"/>
      <c r="B330" s="9"/>
      <c r="C330" s="17"/>
      <c r="D330" s="9"/>
      <c r="E330" s="9"/>
      <c r="F330" s="9"/>
      <c r="G330" s="9"/>
      <c r="H330" s="9"/>
      <c r="I330" s="17"/>
    </row>
    <row r="331" spans="1:9">
      <c r="A331" s="9"/>
      <c r="B331" s="9"/>
      <c r="C331" s="17"/>
      <c r="D331" s="9"/>
      <c r="E331" s="9"/>
      <c r="F331" s="9"/>
      <c r="G331" s="9"/>
      <c r="H331" s="9"/>
      <c r="I331" s="17"/>
    </row>
    <row r="332" spans="1:9">
      <c r="A332" s="9"/>
      <c r="B332" s="9"/>
      <c r="C332" s="17"/>
      <c r="D332" s="9"/>
      <c r="E332" s="9"/>
      <c r="F332" s="9"/>
      <c r="G332" s="9"/>
      <c r="H332" s="9"/>
      <c r="I332" s="17"/>
    </row>
    <row r="333" spans="1:9">
      <c r="A333" s="9"/>
      <c r="B333" s="9"/>
      <c r="C333" s="17"/>
      <c r="D333" s="9"/>
      <c r="E333" s="9"/>
      <c r="F333" s="9"/>
      <c r="G333" s="9"/>
      <c r="H333" s="9"/>
      <c r="I333" s="17"/>
    </row>
    <row r="334" spans="1:9">
      <c r="A334" s="9"/>
      <c r="B334" s="9"/>
      <c r="C334" s="17"/>
      <c r="D334" s="9"/>
      <c r="E334" s="9"/>
      <c r="F334" s="9"/>
      <c r="G334" s="9"/>
      <c r="H334" s="9"/>
      <c r="I334" s="17"/>
    </row>
    <row r="335" spans="1:9">
      <c r="A335" s="9"/>
      <c r="B335" s="9"/>
      <c r="C335" s="17"/>
      <c r="D335" s="9"/>
      <c r="E335" s="9"/>
      <c r="F335" s="9"/>
      <c r="G335" s="9"/>
      <c r="H335" s="9"/>
      <c r="I335" s="17"/>
    </row>
    <row r="336" spans="1:9">
      <c r="A336" s="9"/>
      <c r="B336" s="9"/>
      <c r="C336" s="17"/>
      <c r="D336" s="9"/>
      <c r="E336" s="9"/>
      <c r="F336" s="9"/>
      <c r="G336" s="9"/>
      <c r="H336" s="9"/>
      <c r="I336" s="17"/>
    </row>
    <row r="337" spans="1:9">
      <c r="A337" s="9"/>
      <c r="B337" s="9"/>
      <c r="C337" s="17"/>
      <c r="D337" s="9"/>
      <c r="E337" s="9"/>
      <c r="F337" s="9"/>
      <c r="G337" s="9"/>
      <c r="H337" s="9"/>
      <c r="I337" s="17"/>
    </row>
    <row r="338" spans="1:9">
      <c r="A338" s="9"/>
      <c r="B338" s="9"/>
      <c r="C338" s="17"/>
      <c r="D338" s="9"/>
      <c r="E338" s="9"/>
      <c r="F338" s="9"/>
      <c r="G338" s="9"/>
      <c r="H338" s="9"/>
      <c r="I338" s="17"/>
    </row>
    <row r="339" spans="1:9">
      <c r="A339" s="90"/>
      <c r="B339" s="90"/>
      <c r="C339" s="198"/>
      <c r="D339" s="90"/>
      <c r="E339" s="90"/>
      <c r="F339" s="90"/>
      <c r="G339" s="90"/>
      <c r="H339" s="90"/>
      <c r="I339" s="198"/>
    </row>
    <row r="340" spans="1:9">
      <c r="A340" s="90"/>
      <c r="B340" s="90"/>
      <c r="C340" s="198"/>
      <c r="D340" s="90"/>
      <c r="E340" s="90"/>
      <c r="F340" s="90"/>
      <c r="G340" s="90"/>
      <c r="H340" s="90"/>
      <c r="I340" s="198"/>
    </row>
    <row r="341" spans="1:9">
      <c r="A341" s="90"/>
      <c r="B341" s="90"/>
      <c r="C341" s="198"/>
      <c r="D341" s="90"/>
      <c r="E341" s="90"/>
      <c r="F341" s="90"/>
      <c r="G341" s="90"/>
      <c r="H341" s="90"/>
      <c r="I341" s="198"/>
    </row>
    <row r="342" spans="1:9">
      <c r="A342" s="90"/>
      <c r="B342" s="90"/>
      <c r="C342" s="198"/>
      <c r="D342" s="90"/>
      <c r="E342" s="90"/>
      <c r="F342" s="90"/>
      <c r="G342" s="90"/>
      <c r="H342" s="90"/>
      <c r="I342" s="198"/>
    </row>
    <row r="343" spans="1:9">
      <c r="A343" s="90"/>
      <c r="B343" s="90"/>
      <c r="C343" s="198"/>
      <c r="D343" s="90"/>
      <c r="E343" s="90"/>
      <c r="F343" s="90"/>
      <c r="G343" s="90"/>
      <c r="H343" s="90"/>
      <c r="I343" s="198"/>
    </row>
    <row r="344" spans="1:9">
      <c r="A344" s="90"/>
      <c r="B344" s="90"/>
      <c r="C344" s="198"/>
      <c r="D344" s="90"/>
      <c r="E344" s="90"/>
      <c r="F344" s="90"/>
      <c r="G344" s="90"/>
      <c r="H344" s="90"/>
      <c r="I344" s="198"/>
    </row>
    <row r="345" spans="1:9">
      <c r="A345" s="90"/>
      <c r="B345" s="90"/>
      <c r="C345" s="198"/>
      <c r="D345" s="90"/>
      <c r="E345" s="90"/>
      <c r="F345" s="90"/>
      <c r="G345" s="90"/>
      <c r="H345" s="90"/>
      <c r="I345" s="198"/>
    </row>
    <row r="346" spans="1:9">
      <c r="A346" s="90"/>
      <c r="B346" s="90"/>
      <c r="C346" s="198"/>
      <c r="D346" s="90"/>
      <c r="E346" s="90"/>
      <c r="F346" s="90"/>
      <c r="G346" s="90"/>
      <c r="H346" s="90"/>
      <c r="I346" s="198"/>
    </row>
    <row r="347" spans="1:9">
      <c r="A347" s="90"/>
      <c r="B347" s="90"/>
      <c r="C347" s="198"/>
      <c r="D347" s="90"/>
      <c r="E347" s="90"/>
      <c r="F347" s="90"/>
      <c r="G347" s="90"/>
      <c r="H347" s="90"/>
      <c r="I347" s="198"/>
    </row>
    <row r="348" spans="1:9">
      <c r="A348" s="90"/>
      <c r="B348" s="90"/>
      <c r="C348" s="198"/>
      <c r="D348" s="90"/>
      <c r="E348" s="90"/>
      <c r="F348" s="90"/>
      <c r="G348" s="90"/>
      <c r="H348" s="90"/>
      <c r="I348" s="198"/>
    </row>
    <row r="349" spans="1:9">
      <c r="A349" s="90"/>
      <c r="B349" s="90"/>
      <c r="C349" s="198"/>
      <c r="D349" s="90"/>
      <c r="E349" s="90"/>
      <c r="F349" s="90"/>
      <c r="G349" s="90"/>
      <c r="H349" s="90"/>
      <c r="I349" s="198"/>
    </row>
    <row r="350" spans="1:9">
      <c r="A350" s="90"/>
      <c r="B350" s="90"/>
      <c r="C350" s="198"/>
      <c r="D350" s="90"/>
      <c r="E350" s="90"/>
      <c r="F350" s="90"/>
      <c r="G350" s="90"/>
      <c r="H350" s="90"/>
      <c r="I350" s="198"/>
    </row>
    <row r="351" spans="1:9">
      <c r="A351" s="90"/>
      <c r="B351" s="90"/>
      <c r="C351" s="198"/>
      <c r="D351" s="90"/>
      <c r="E351" s="90"/>
      <c r="F351" s="90"/>
      <c r="G351" s="90"/>
      <c r="H351" s="90"/>
      <c r="I351" s="198"/>
    </row>
    <row r="352" spans="1:9">
      <c r="A352" s="90"/>
      <c r="B352" s="90"/>
      <c r="C352" s="198"/>
      <c r="D352" s="90"/>
      <c r="E352" s="90"/>
      <c r="F352" s="90"/>
      <c r="G352" s="90"/>
      <c r="H352" s="90"/>
      <c r="I352" s="198"/>
    </row>
    <row r="353" spans="1:9">
      <c r="A353" s="90"/>
      <c r="B353" s="90"/>
      <c r="C353" s="198"/>
      <c r="D353" s="90"/>
      <c r="E353" s="90"/>
      <c r="F353" s="90"/>
      <c r="G353" s="90"/>
      <c r="H353" s="90"/>
      <c r="I353" s="198"/>
    </row>
    <row r="354" spans="1:9">
      <c r="A354" s="90"/>
      <c r="B354" s="90"/>
      <c r="C354" s="198"/>
      <c r="D354" s="90"/>
      <c r="E354" s="90"/>
      <c r="F354" s="90"/>
      <c r="G354" s="90"/>
      <c r="H354" s="90"/>
      <c r="I354" s="198"/>
    </row>
    <row r="355" spans="1:9">
      <c r="A355" s="90"/>
      <c r="B355" s="90"/>
      <c r="C355" s="198"/>
      <c r="D355" s="90"/>
      <c r="E355" s="90"/>
      <c r="F355" s="90"/>
      <c r="G355" s="90"/>
      <c r="H355" s="90"/>
      <c r="I355" s="198"/>
    </row>
    <row r="356" spans="1:9">
      <c r="A356" s="90"/>
      <c r="B356" s="90"/>
      <c r="C356" s="198"/>
      <c r="D356" s="90"/>
      <c r="E356" s="90"/>
      <c r="F356" s="90"/>
      <c r="G356" s="90"/>
      <c r="H356" s="90"/>
      <c r="I356" s="198"/>
    </row>
    <row r="357" spans="1:9">
      <c r="A357" s="90"/>
      <c r="B357" s="90"/>
      <c r="C357" s="198"/>
      <c r="D357" s="90"/>
      <c r="E357" s="90"/>
      <c r="F357" s="90"/>
      <c r="G357" s="90"/>
      <c r="H357" s="90"/>
      <c r="I357" s="198"/>
    </row>
    <row r="358" spans="1:9">
      <c r="A358" s="90"/>
      <c r="B358" s="90"/>
      <c r="C358" s="198"/>
      <c r="D358" s="90"/>
      <c r="E358" s="90"/>
      <c r="F358" s="90"/>
      <c r="G358" s="90"/>
      <c r="H358" s="90"/>
      <c r="I358" s="198"/>
    </row>
  </sheetData>
  <sheetProtection password="962F" sheet="1" objects="1" scenarios="1" autoFilter="0"/>
  <autoFilter ref="D10:G300">
    <filterColumn colId="0">
      <filters>
        <filter val="Atletismo 400m llanos Olímpicos 1984"/>
      </filters>
    </filterColumn>
  </autoFilter>
  <phoneticPr fontId="0" type="noConversion"/>
  <hyperlinks>
    <hyperlink ref="C1" location="Presentación!A1" tooltip="Página principal" display="PRESENTACIÓN"/>
    <hyperlink ref="D1" location="Planilla!A1" tooltip="Planilla Antropométrica Básica" display="PLANILLA"/>
    <hyperlink ref="F1" location="Proporcionalidad!A1" tooltip="Ir a la pantalla Proporcionalidad" display="PROPORCIONALIDAD"/>
    <hyperlink ref="G1" location="Índices!A1" tooltip="Índices de salud" display="ÍNDICES"/>
    <hyperlink ref="H1" location="Índices!A47" tooltip="Ver las Referencias" display="REFERENCIAS"/>
    <hyperlink ref="D5" location="Somatotipo!C331" tooltip="Pulse para ver la Somatocarta" display="Ver Somatocarta"/>
    <hyperlink ref="E1" location="Fraccionamiento!A1" tooltip="Ir a la pantalla Fraccionamiento" display="FRACCIONAMIENTO"/>
  </hyperlinks>
  <pageMargins left="0.59055118110236227" right="0.19685039370078741" top="0.39370078740157483" bottom="0.39370078740157483" header="0" footer="0"/>
  <pageSetup paperSize="9" orientation="portrait" horizontalDpi="4294967293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H59"/>
  <sheetViews>
    <sheetView zoomScale="125" zoomScaleNormal="125" workbookViewId="0">
      <selection activeCell="F1" sqref="F1"/>
    </sheetView>
  </sheetViews>
  <sheetFormatPr baseColWidth="10" defaultRowHeight="12.75"/>
  <sheetData>
    <row r="1" spans="1:8">
      <c r="A1" s="65" t="s">
        <v>115</v>
      </c>
      <c r="B1" s="81" t="s">
        <v>119</v>
      </c>
      <c r="C1" s="81" t="s">
        <v>116</v>
      </c>
      <c r="D1" s="81"/>
      <c r="E1" s="81" t="s">
        <v>85</v>
      </c>
      <c r="F1" s="81" t="s">
        <v>118</v>
      </c>
      <c r="G1" s="81" t="s">
        <v>104</v>
      </c>
      <c r="H1" s="81"/>
    </row>
    <row r="2" spans="1:8" ht="15">
      <c r="A2" s="164" t="s">
        <v>392</v>
      </c>
      <c r="B2" s="165"/>
      <c r="C2" s="165"/>
      <c r="D2" s="165"/>
      <c r="E2" s="88" t="s">
        <v>89</v>
      </c>
      <c r="F2" s="166" t="s">
        <v>114</v>
      </c>
      <c r="G2" s="166"/>
      <c r="H2" s="89"/>
    </row>
    <row r="3" spans="1:8">
      <c r="A3" s="11" t="s">
        <v>9</v>
      </c>
      <c r="B3" s="11"/>
      <c r="C3" s="7"/>
      <c r="D3" s="7"/>
      <c r="E3" s="7"/>
      <c r="F3" s="7"/>
      <c r="G3" s="7"/>
      <c r="H3" s="7"/>
    </row>
    <row r="4" spans="1:8">
      <c r="A4" s="11">
        <v>1</v>
      </c>
      <c r="B4" s="6" t="s">
        <v>14</v>
      </c>
      <c r="C4" s="6"/>
      <c r="D4" s="7"/>
      <c r="E4" s="8" t="e">
        <f>(Planilla!H9*(170.18/Planilla!H10)-64.58)/8.6</f>
        <v>#NUM!</v>
      </c>
      <c r="F4" s="7"/>
      <c r="G4" s="7"/>
      <c r="H4" s="7"/>
    </row>
    <row r="5" spans="1:8">
      <c r="A5" s="11">
        <v>2</v>
      </c>
      <c r="B5" s="6" t="s">
        <v>15</v>
      </c>
      <c r="C5" s="6"/>
      <c r="D5" s="7"/>
      <c r="E5" s="8" t="e">
        <f xml:space="preserve"> ((Planilla!H10)-170.18 )/6.29</f>
        <v>#NUM!</v>
      </c>
      <c r="F5" s="7"/>
      <c r="G5" s="7"/>
      <c r="H5" s="7"/>
    </row>
    <row r="6" spans="1:8">
      <c r="A6" s="11">
        <v>3</v>
      </c>
      <c r="B6" s="6" t="s">
        <v>16</v>
      </c>
      <c r="C6" s="6"/>
      <c r="D6" s="7"/>
      <c r="E6" s="8" t="e">
        <f>(Planilla!H11*(170.18/Planilla!H10)-90.78)/4.54</f>
        <v>#NUM!</v>
      </c>
      <c r="F6" s="7"/>
      <c r="G6" s="7"/>
      <c r="H6" s="7"/>
    </row>
    <row r="7" spans="1:8">
      <c r="A7" s="11">
        <v>4</v>
      </c>
      <c r="B7" s="6" t="s">
        <v>17</v>
      </c>
      <c r="C7" s="6"/>
      <c r="D7" s="7"/>
      <c r="E7" s="8" t="e">
        <f>(Planilla!H12*(170.18/Planilla!H10)-172.35)/7.41</f>
        <v>#NUM!</v>
      </c>
      <c r="F7" s="7"/>
      <c r="G7" s="7"/>
      <c r="H7" s="7"/>
    </row>
    <row r="8" spans="1:8">
      <c r="A8" s="11" t="s">
        <v>18</v>
      </c>
      <c r="B8" s="7"/>
      <c r="C8" s="7"/>
      <c r="D8" s="7"/>
      <c r="E8" s="8"/>
      <c r="F8" s="7"/>
      <c r="G8" s="7"/>
      <c r="H8" s="7"/>
    </row>
    <row r="9" spans="1:8">
      <c r="A9" s="11">
        <v>5</v>
      </c>
      <c r="B9" s="6" t="s">
        <v>19</v>
      </c>
      <c r="C9" s="7"/>
      <c r="D9" s="7"/>
      <c r="E9" s="8" t="e">
        <f>(Planilla!H14*(170.18/Planilla!H10)-32.53)/1.77</f>
        <v>#NUM!</v>
      </c>
      <c r="F9" s="7"/>
      <c r="G9" s="7"/>
      <c r="H9" s="7"/>
    </row>
    <row r="10" spans="1:8">
      <c r="A10" s="11">
        <v>6</v>
      </c>
      <c r="B10" s="6" t="s">
        <v>20</v>
      </c>
      <c r="C10" s="7"/>
      <c r="D10" s="7"/>
      <c r="E10" s="8" t="e">
        <f>(Planilla!H15*(170.18/Planilla!H10)-24.57)/1.37</f>
        <v>#NUM!</v>
      </c>
      <c r="F10" s="7"/>
      <c r="G10" s="7"/>
      <c r="H10" s="7"/>
    </row>
    <row r="11" spans="1:8">
      <c r="A11" s="11">
        <v>7</v>
      </c>
      <c r="B11" s="6" t="s">
        <v>21</v>
      </c>
      <c r="C11" s="7"/>
      <c r="D11" s="7"/>
      <c r="E11" s="8" t="e">
        <f>(Planilla!H16*(170.18/Planilla!H10)-18.85)/0.85</f>
        <v>#NUM!</v>
      </c>
      <c r="F11" s="7"/>
      <c r="G11" s="7"/>
      <c r="H11" s="7"/>
    </row>
    <row r="12" spans="1:8">
      <c r="A12" s="11">
        <v>8</v>
      </c>
      <c r="B12" s="6" t="s">
        <v>22</v>
      </c>
      <c r="C12" s="7"/>
      <c r="D12" s="7"/>
      <c r="E12" s="8" t="e">
        <f>(Planilla!H17*(170.18/Planilla!H10)-94.11)/4.71</f>
        <v>#NUM!</v>
      </c>
      <c r="F12" s="7"/>
      <c r="G12" s="7"/>
      <c r="H12" s="7"/>
    </row>
    <row r="13" spans="1:8">
      <c r="A13" s="11">
        <v>9</v>
      </c>
      <c r="B13" s="6" t="s">
        <v>23</v>
      </c>
      <c r="C13" s="7"/>
      <c r="D13" s="7"/>
      <c r="E13" s="8" t="e">
        <f>(Planilla!H18*(170.18/Planilla!H10)-85.4)/4.32</f>
        <v>#NUM!</v>
      </c>
      <c r="F13" s="7"/>
      <c r="G13" s="7"/>
      <c r="H13" s="7"/>
    </row>
    <row r="14" spans="1:8">
      <c r="A14" s="11">
        <v>10</v>
      </c>
      <c r="B14" s="6" t="s">
        <v>24</v>
      </c>
      <c r="C14" s="7"/>
      <c r="D14" s="7"/>
      <c r="E14" s="8" t="e">
        <f>(Planilla!H19*(170.18/Planilla!H10)-41.37)/2.48</f>
        <v>#NUM!</v>
      </c>
      <c r="F14" s="7"/>
      <c r="G14" s="7"/>
      <c r="H14" s="7"/>
    </row>
    <row r="15" spans="1:8">
      <c r="A15" s="11">
        <v>11</v>
      </c>
      <c r="B15" s="6" t="s">
        <v>25</v>
      </c>
      <c r="C15" s="7"/>
      <c r="D15" s="7"/>
      <c r="E15" s="8" t="e">
        <f>(Planilla!H20*(170.18/Planilla!H10)-44.82)/2.56</f>
        <v>#NUM!</v>
      </c>
      <c r="F15" s="7"/>
      <c r="G15" s="7"/>
      <c r="H15" s="7"/>
    </row>
    <row r="16" spans="1:8">
      <c r="A16" s="11">
        <v>12</v>
      </c>
      <c r="B16" s="6" t="s">
        <v>26</v>
      </c>
      <c r="C16" s="7"/>
      <c r="D16" s="7"/>
      <c r="E16" s="8" t="e">
        <f>(Planilla!H21*(170.18/Planilla!H10)-38.97)/2.22</f>
        <v>#NUM!</v>
      </c>
      <c r="F16" s="7"/>
      <c r="G16" s="7"/>
      <c r="H16" s="7"/>
    </row>
    <row r="17" spans="1:8">
      <c r="A17" s="11">
        <v>13</v>
      </c>
      <c r="B17" s="6" t="s">
        <v>27</v>
      </c>
      <c r="C17" s="7"/>
      <c r="D17" s="7"/>
      <c r="E17" s="8" t="e">
        <f>(Planilla!H22*(170.18/Planilla!H10)-25.5)/1.16</f>
        <v>#NUM!</v>
      </c>
      <c r="F17" s="7"/>
      <c r="G17" s="7"/>
      <c r="H17" s="7"/>
    </row>
    <row r="18" spans="1:8">
      <c r="A18" s="11" t="s">
        <v>28</v>
      </c>
      <c r="B18" s="7"/>
      <c r="C18" s="7"/>
      <c r="D18" s="7"/>
      <c r="E18" s="8"/>
      <c r="F18" s="7"/>
      <c r="G18" s="7"/>
      <c r="H18" s="7"/>
    </row>
    <row r="19" spans="1:8">
      <c r="A19" s="11">
        <v>14</v>
      </c>
      <c r="B19" s="6" t="s">
        <v>29</v>
      </c>
      <c r="C19" s="7"/>
      <c r="D19" s="7"/>
      <c r="E19" s="8" t="e">
        <f>(Planilla!H24*(170.18/Planilla!H10)-38.04)/1.92</f>
        <v>#NUM!</v>
      </c>
      <c r="F19" s="7"/>
      <c r="G19" s="7"/>
      <c r="H19" s="7"/>
    </row>
    <row r="20" spans="1:8">
      <c r="A20" s="11">
        <v>15</v>
      </c>
      <c r="B20" s="6" t="s">
        <v>30</v>
      </c>
      <c r="C20" s="7"/>
      <c r="D20" s="7"/>
      <c r="E20" s="8" t="e">
        <f>(Planilla!H25*(170.18/Planilla!H10)-28.84)/1.75</f>
        <v>#NUM!</v>
      </c>
      <c r="F20" s="7"/>
      <c r="G20" s="7"/>
      <c r="H20" s="7"/>
    </row>
    <row r="21" spans="1:8">
      <c r="A21" s="11">
        <v>16</v>
      </c>
      <c r="B21" s="6" t="s">
        <v>31</v>
      </c>
      <c r="C21" s="7"/>
      <c r="D21" s="7"/>
      <c r="E21" s="8" t="e">
        <f>(Planilla!H26*(170.18/Planilla!H10)-27.52)/1.74</f>
        <v>#NUM!</v>
      </c>
      <c r="F21" s="7"/>
      <c r="G21" s="7"/>
      <c r="H21" s="7"/>
    </row>
    <row r="22" spans="1:8">
      <c r="A22" s="11">
        <v>17</v>
      </c>
      <c r="B22" s="6" t="s">
        <v>32</v>
      </c>
      <c r="C22" s="7"/>
      <c r="D22" s="7"/>
      <c r="E22" s="8" t="e">
        <f>(Planilla!H27*(170.18/Planilla!H10)-17.5)/1.38</f>
        <v>#NUM!</v>
      </c>
      <c r="F22" s="7"/>
      <c r="G22" s="7"/>
      <c r="H22" s="7"/>
    </row>
    <row r="23" spans="1:8">
      <c r="A23" s="11">
        <v>18</v>
      </c>
      <c r="B23" s="6" t="s">
        <v>33</v>
      </c>
      <c r="C23" s="7"/>
      <c r="D23" s="7"/>
      <c r="E23" s="8" t="e">
        <f>(Planilla!H28*(170.18/Planilla!H10)-6.48)/0.35</f>
        <v>#NUM!</v>
      </c>
      <c r="F23" s="7"/>
      <c r="G23" s="7"/>
      <c r="H23" s="7"/>
    </row>
    <row r="24" spans="1:8">
      <c r="A24" s="11">
        <v>19</v>
      </c>
      <c r="B24" s="6" t="s">
        <v>34</v>
      </c>
      <c r="C24" s="7"/>
      <c r="D24" s="7"/>
      <c r="E24" s="8" t="e">
        <f>(Planilla!H29*(170.18/Planilla!H10)-5.21)/0.28</f>
        <v>#NUM!</v>
      </c>
      <c r="F24" s="7"/>
      <c r="G24" s="7"/>
      <c r="H24" s="7"/>
    </row>
    <row r="25" spans="1:8">
      <c r="A25" s="11">
        <v>20</v>
      </c>
      <c r="B25" s="6" t="s">
        <v>35</v>
      </c>
      <c r="C25" s="7"/>
      <c r="D25" s="7"/>
      <c r="E25" s="8" t="e">
        <f>(Planilla!H30*(170.18/Planilla!H10)-9.52)/0.48</f>
        <v>#NUM!</v>
      </c>
      <c r="F25" s="7"/>
      <c r="G25" s="7"/>
      <c r="H25" s="7"/>
    </row>
    <row r="26" spans="1:8">
      <c r="A26" s="11">
        <v>21</v>
      </c>
      <c r="B26" s="6" t="s">
        <v>36</v>
      </c>
      <c r="C26" s="7"/>
      <c r="D26" s="7"/>
      <c r="E26" s="8" t="e">
        <f>(Planilla!H31*(170.18/Planilla!H10)-6.68)/0.37</f>
        <v>#NUM!</v>
      </c>
      <c r="F26" s="7"/>
      <c r="G26" s="7"/>
      <c r="H26" s="7"/>
    </row>
    <row r="27" spans="1:8">
      <c r="A27" s="11" t="s">
        <v>37</v>
      </c>
      <c r="B27" s="7"/>
      <c r="C27" s="7"/>
      <c r="D27" s="7"/>
      <c r="E27" s="8"/>
      <c r="F27" s="7"/>
      <c r="G27" s="7"/>
      <c r="H27" s="7"/>
    </row>
    <row r="28" spans="1:8">
      <c r="A28" s="11">
        <v>22</v>
      </c>
      <c r="B28" s="6" t="s">
        <v>38</v>
      </c>
      <c r="C28" s="7"/>
      <c r="D28" s="7"/>
      <c r="E28" s="8" t="e">
        <f>(Planilla!H33*(170.18/Planilla!H10)-24.88)/3.67</f>
        <v>#NUM!</v>
      </c>
      <c r="F28" s="7"/>
      <c r="G28" s="7"/>
      <c r="H28" s="7"/>
    </row>
    <row r="29" spans="1:8">
      <c r="A29" s="11">
        <v>23</v>
      </c>
      <c r="B29" s="6" t="s">
        <v>39</v>
      </c>
      <c r="C29" s="7"/>
      <c r="D29" s="7"/>
      <c r="E29" s="8" t="e">
        <f>(Planilla!H34*(170.18/Planilla!H10)-29.41)/2.37</f>
        <v>#NUM!</v>
      </c>
      <c r="F29" s="7"/>
      <c r="G29" s="7"/>
      <c r="H29" s="7"/>
    </row>
    <row r="30" spans="1:8">
      <c r="A30" s="11">
        <v>24</v>
      </c>
      <c r="B30" s="6" t="s">
        <v>40</v>
      </c>
      <c r="C30" s="7"/>
      <c r="D30" s="7"/>
      <c r="E30" s="8" t="e">
        <f>(Planilla!H35*(170.18/Planilla!H10)-25.13)/1.41</f>
        <v>#NUM!</v>
      </c>
      <c r="F30" s="7"/>
      <c r="G30" s="7"/>
      <c r="H30" s="7"/>
    </row>
    <row r="31" spans="1:8">
      <c r="A31" s="11">
        <v>25</v>
      </c>
      <c r="B31" s="6" t="s">
        <v>41</v>
      </c>
      <c r="C31" s="7"/>
      <c r="D31" s="7"/>
      <c r="E31" s="8" t="e">
        <f>(Planilla!H36*(170.18/Planilla!H10)-16.35)/0.72</f>
        <v>#NUM!</v>
      </c>
      <c r="F31" s="7"/>
      <c r="G31" s="7"/>
      <c r="H31" s="7"/>
    </row>
    <row r="32" spans="1:8">
      <c r="A32" s="11">
        <v>26</v>
      </c>
      <c r="B32" s="6" t="s">
        <v>42</v>
      </c>
      <c r="C32" s="7"/>
      <c r="D32" s="7"/>
      <c r="E32" s="8" t="e">
        <f>(Planilla!H37*(170.18/Planilla!H10)-56)/1.44</f>
        <v>#NUM!</v>
      </c>
      <c r="F32" s="7"/>
      <c r="G32" s="7"/>
      <c r="H32" s="7"/>
    </row>
    <row r="33" spans="1:8">
      <c r="A33" s="11">
        <v>27</v>
      </c>
      <c r="B33" s="6" t="s">
        <v>43</v>
      </c>
      <c r="C33" s="7"/>
      <c r="D33" s="7"/>
      <c r="E33" s="8" t="e">
        <f>(Planilla!H38*(170.18/Planilla!H10)-34.91)/1.73</f>
        <v>#NUM!</v>
      </c>
      <c r="F33" s="7"/>
      <c r="G33" s="7"/>
      <c r="H33" s="7"/>
    </row>
    <row r="34" spans="1:8">
      <c r="A34" s="11">
        <v>28</v>
      </c>
      <c r="B34" s="6" t="s">
        <v>44</v>
      </c>
      <c r="C34" s="7"/>
      <c r="D34" s="7"/>
      <c r="E34" s="8" t="e">
        <f>(Planilla!H39*(170.18/Planilla!H10)-87.86)/5.18</f>
        <v>#NUM!</v>
      </c>
      <c r="F34" s="7"/>
      <c r="G34" s="7"/>
      <c r="H34" s="7"/>
    </row>
    <row r="35" spans="1:8">
      <c r="A35" s="11">
        <v>29</v>
      </c>
      <c r="B35" s="6" t="s">
        <v>45</v>
      </c>
      <c r="C35" s="7"/>
      <c r="D35" s="7"/>
      <c r="E35" s="8" t="e">
        <f>(Planilla!H40*(170.18/Planilla!H10)-71.91)/4.45</f>
        <v>#NUM!</v>
      </c>
      <c r="F35" s="7"/>
      <c r="G35" s="7"/>
      <c r="H35" s="7"/>
    </row>
    <row r="36" spans="1:8">
      <c r="A36" s="11">
        <v>30</v>
      </c>
      <c r="B36" s="6" t="s">
        <v>46</v>
      </c>
      <c r="C36" s="7"/>
      <c r="D36" s="7"/>
      <c r="E36" s="8" t="e">
        <f>(Planilla!H41*(170.18/Planilla!H10)-94.67)/5.58</f>
        <v>#NUM!</v>
      </c>
      <c r="F36" s="7"/>
      <c r="G36" s="7"/>
      <c r="H36" s="7"/>
    </row>
    <row r="37" spans="1:8">
      <c r="A37" s="11">
        <v>31</v>
      </c>
      <c r="B37" s="6" t="s">
        <v>47</v>
      </c>
      <c r="C37" s="7"/>
      <c r="D37" s="7"/>
      <c r="E37" s="8" t="e">
        <f>(Planilla!H42*(170.18/Planilla!H10)-55.82)/4.23</f>
        <v>#NUM!</v>
      </c>
      <c r="F37" s="7"/>
      <c r="G37" s="7"/>
      <c r="H37" s="7"/>
    </row>
    <row r="38" spans="1:8">
      <c r="A38" s="11">
        <v>32</v>
      </c>
      <c r="B38" s="6" t="s">
        <v>48</v>
      </c>
      <c r="C38" s="7"/>
      <c r="D38" s="7"/>
      <c r="E38" s="8"/>
      <c r="F38" s="7"/>
      <c r="G38" s="7"/>
      <c r="H38" s="7"/>
    </row>
    <row r="39" spans="1:8">
      <c r="A39" s="11">
        <v>33</v>
      </c>
      <c r="B39" s="6" t="s">
        <v>49</v>
      </c>
      <c r="C39" s="7"/>
      <c r="D39" s="7"/>
      <c r="E39" s="8" t="e">
        <f>(Planilla!H44*(170.18/Planilla!H10)-35.25)/2.3</f>
        <v>#NUM!</v>
      </c>
      <c r="F39" s="7"/>
      <c r="G39" s="7"/>
      <c r="H39" s="7"/>
    </row>
    <row r="40" spans="1:8">
      <c r="A40" s="11">
        <v>34</v>
      </c>
      <c r="B40" s="6" t="s">
        <v>50</v>
      </c>
      <c r="C40" s="7"/>
      <c r="D40" s="7"/>
      <c r="E40" s="8" t="e">
        <f>(Planilla!H45*(170.18/Planilla!H10)-21.71)/1.33</f>
        <v>#NUM!</v>
      </c>
      <c r="F40" s="7"/>
      <c r="G40" s="7"/>
      <c r="H40" s="7"/>
    </row>
    <row r="41" spans="1:8">
      <c r="A41" s="11" t="s">
        <v>51</v>
      </c>
      <c r="B41" s="7"/>
      <c r="C41" s="7"/>
      <c r="D41" s="7"/>
      <c r="E41" s="8"/>
      <c r="F41" s="7"/>
      <c r="G41" s="7"/>
      <c r="H41" s="7"/>
    </row>
    <row r="42" spans="1:8">
      <c r="A42" s="11">
        <v>35</v>
      </c>
      <c r="B42" s="6" t="s">
        <v>52</v>
      </c>
      <c r="C42" s="7"/>
      <c r="D42" s="7"/>
      <c r="E42" s="8" t="e">
        <f>(Planilla!H47*(170.18/Planilla!H10)-15.4)/4.47</f>
        <v>#NUM!</v>
      </c>
      <c r="F42" s="7"/>
      <c r="G42" s="7"/>
      <c r="H42" s="7"/>
    </row>
    <row r="43" spans="1:8">
      <c r="A43" s="11">
        <v>36</v>
      </c>
      <c r="B43" s="6" t="s">
        <v>53</v>
      </c>
      <c r="C43" s="7"/>
      <c r="D43" s="7"/>
      <c r="E43" s="8" t="e">
        <f>(Planilla!H48*(170.18/Planilla!H10)-17.2)/5.07</f>
        <v>#NUM!</v>
      </c>
      <c r="F43" s="7"/>
      <c r="G43" s="7"/>
      <c r="H43" s="7"/>
    </row>
    <row r="44" spans="1:8">
      <c r="A44" s="11">
        <v>37</v>
      </c>
      <c r="B44" s="6" t="s">
        <v>54</v>
      </c>
      <c r="C44" s="7"/>
      <c r="D44" s="7"/>
      <c r="E44" s="8" t="e">
        <f>(Planilla!H49*(170.18/Planilla!H10)-8)/2</f>
        <v>#NUM!</v>
      </c>
      <c r="F44" s="7"/>
      <c r="G44" s="7"/>
      <c r="H44" s="7"/>
    </row>
    <row r="45" spans="1:8">
      <c r="A45" s="11">
        <v>38</v>
      </c>
      <c r="B45" s="6" t="s">
        <v>55</v>
      </c>
      <c r="C45" s="7"/>
      <c r="D45" s="7"/>
      <c r="E45" s="8"/>
      <c r="F45" s="7"/>
      <c r="G45" s="7"/>
      <c r="H45" s="7"/>
    </row>
    <row r="46" spans="1:8">
      <c r="A46" s="11">
        <v>39</v>
      </c>
      <c r="B46" s="6" t="s">
        <v>56</v>
      </c>
      <c r="C46" s="7"/>
      <c r="D46" s="7"/>
      <c r="E46" s="8" t="e">
        <f>(Planilla!H51*(170.18/Planilla!H10)-22.4)/6.8</f>
        <v>#NUM!</v>
      </c>
      <c r="F46" s="7"/>
      <c r="G46" s="7"/>
      <c r="H46" s="7"/>
    </row>
    <row r="47" spans="1:8">
      <c r="A47" s="11">
        <v>40</v>
      </c>
      <c r="B47" s="6" t="s">
        <v>57</v>
      </c>
      <c r="C47" s="7"/>
      <c r="D47" s="7"/>
      <c r="E47" s="8" t="e">
        <f>(Planilla!H52*(170.18/Planilla!H10)-15.2)/4.47</f>
        <v>#NUM!</v>
      </c>
      <c r="F47" s="7"/>
      <c r="G47" s="7"/>
      <c r="H47" s="7"/>
    </row>
    <row r="48" spans="1:8">
      <c r="A48" s="11">
        <v>41</v>
      </c>
      <c r="B48" s="6" t="s">
        <v>58</v>
      </c>
      <c r="C48" s="7"/>
      <c r="D48" s="7"/>
      <c r="E48" s="8" t="e">
        <f>(Planilla!H53*(170.18/Planilla!H10)-25.4)/7.78</f>
        <v>#NUM!</v>
      </c>
      <c r="F48" s="7"/>
      <c r="G48" s="7"/>
      <c r="H48" s="7"/>
    </row>
    <row r="49" spans="1:8">
      <c r="A49" s="11">
        <v>42</v>
      </c>
      <c r="B49" s="6" t="s">
        <v>59</v>
      </c>
      <c r="C49" s="7"/>
      <c r="D49" s="7"/>
      <c r="E49" s="8" t="e">
        <f>(Planilla!H54*(170.18/Planilla!H10)-27)/8.33</f>
        <v>#NUM!</v>
      </c>
      <c r="F49" s="7"/>
      <c r="G49" s="7"/>
      <c r="H49" s="7"/>
    </row>
    <row r="50" spans="1:8">
      <c r="A50" s="11">
        <v>43</v>
      </c>
      <c r="B50" s="6" t="s">
        <v>60</v>
      </c>
      <c r="C50" s="7"/>
      <c r="D50" s="7"/>
      <c r="E50" s="8" t="e">
        <f>(Planilla!H55*(170.18/Planilla!H10)-16)/4.67</f>
        <v>#NUM!</v>
      </c>
      <c r="F50" s="7"/>
      <c r="G50" s="7"/>
      <c r="H50" s="7"/>
    </row>
    <row r="51" spans="1:8">
      <c r="A51" s="12"/>
      <c r="B51" s="7"/>
      <c r="C51" s="7"/>
      <c r="D51" s="7"/>
      <c r="E51" s="7"/>
      <c r="F51" s="7"/>
      <c r="G51" s="7"/>
      <c r="H51" s="7"/>
    </row>
    <row r="52" spans="1:8">
      <c r="A52" s="12"/>
      <c r="B52" s="7"/>
      <c r="C52" s="7"/>
      <c r="D52" s="7"/>
      <c r="E52" s="7"/>
      <c r="F52" s="7"/>
      <c r="G52" s="7"/>
      <c r="H52" s="7"/>
    </row>
    <row r="53" spans="1:8">
      <c r="A53" s="12"/>
      <c r="B53" s="7"/>
      <c r="C53" s="7"/>
      <c r="D53" s="7"/>
      <c r="E53" s="7"/>
      <c r="F53" s="7"/>
      <c r="G53" s="7"/>
      <c r="H53" s="7"/>
    </row>
    <row r="54" spans="1:8">
      <c r="A54" s="12"/>
      <c r="B54" s="7"/>
      <c r="C54" s="7"/>
      <c r="D54" s="7"/>
      <c r="E54" s="7"/>
      <c r="F54" s="7"/>
      <c r="G54" s="7"/>
      <c r="H54" s="7"/>
    </row>
    <row r="55" spans="1:8">
      <c r="A55" s="12"/>
      <c r="B55" s="7"/>
      <c r="C55" s="7"/>
      <c r="D55" s="7"/>
      <c r="E55" s="7"/>
      <c r="F55" s="7"/>
      <c r="G55" s="7"/>
      <c r="H55" s="7"/>
    </row>
    <row r="56" spans="1:8">
      <c r="A56" s="12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9"/>
      <c r="B59" s="9"/>
      <c r="C59" s="9"/>
      <c r="D59" s="9"/>
      <c r="E59" s="9"/>
      <c r="F59" s="9"/>
      <c r="G59" s="9"/>
      <c r="H59" s="9"/>
    </row>
  </sheetData>
  <sheetProtection password="962F" sheet="1" objects="1" scenarios="1"/>
  <phoneticPr fontId="0" type="noConversion"/>
  <hyperlinks>
    <hyperlink ref="F2:G2" location="Proporcionalidad!B50" tooltip="Ir Abajo" display="Ver 2° Parte del Gráfico"/>
    <hyperlink ref="A1" location="Presentación!A1" tooltip="Pantalla Principal" display="PRESENTACIÓN"/>
    <hyperlink ref="B1" location="Planilla!A1" tooltip="Planilla Antropométrica Básica" display="PLANILLA"/>
    <hyperlink ref="C1:D1" location="Fraccionamiento!A1" display="FRACCIONAMIENTO"/>
    <hyperlink ref="E1" location="Somatotipo!A1" tooltip="Ir a la pantalla Somatotipo" display="SOMATOTIPO"/>
    <hyperlink ref="F1" location="Índices!A1" tooltip="Índices de salud" display="ÍNDICES"/>
    <hyperlink ref="G1" location="Índices!A47" tooltip="Pantalla de Referencias" display="REFERENCIAS"/>
    <hyperlink ref="C1" location="Fraccionamiento!A1" tooltip="Ir a la pantalla Fraccionamiento" display="FRACCIONAMIENTO"/>
  </hyperlinks>
  <pageMargins left="0.59055118110236227" right="0.19685039370078741" top="0.39370078740157483" bottom="0.39370078740157483" header="0" footer="0"/>
  <pageSetup paperSize="9" orientation="portrait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H62"/>
  <sheetViews>
    <sheetView zoomScale="125" zoomScaleNormal="125" workbookViewId="0"/>
  </sheetViews>
  <sheetFormatPr baseColWidth="10" defaultRowHeight="12.75"/>
  <cols>
    <col min="7" max="7" width="12.28515625" bestFit="1" customWidth="1"/>
    <col min="8" max="8" width="11.42578125" customWidth="1"/>
  </cols>
  <sheetData>
    <row r="1" spans="1:8">
      <c r="A1" s="65" t="s">
        <v>115</v>
      </c>
      <c r="B1" s="81" t="s">
        <v>119</v>
      </c>
      <c r="C1" s="81" t="s">
        <v>116</v>
      </c>
      <c r="D1" s="81"/>
      <c r="E1" s="81" t="s">
        <v>85</v>
      </c>
      <c r="F1" s="81" t="s">
        <v>117</v>
      </c>
      <c r="G1" s="81"/>
      <c r="H1" s="81" t="s">
        <v>104</v>
      </c>
    </row>
    <row r="2" spans="1:8">
      <c r="A2" s="61"/>
      <c r="B2" s="61"/>
      <c r="C2" s="61"/>
      <c r="D2" s="61"/>
      <c r="E2" s="61"/>
      <c r="F2" s="61"/>
      <c r="G2" s="61"/>
      <c r="H2" s="61"/>
    </row>
    <row r="3" spans="1:8">
      <c r="A3" s="52"/>
      <c r="B3" s="52"/>
      <c r="C3" s="52"/>
      <c r="D3" s="52"/>
      <c r="E3" s="52"/>
      <c r="F3" s="61"/>
      <c r="G3" s="61"/>
      <c r="H3" s="61"/>
    </row>
    <row r="4" spans="1:8" ht="15.75">
      <c r="A4" s="167" t="s">
        <v>393</v>
      </c>
      <c r="B4" s="113"/>
      <c r="C4" s="113"/>
      <c r="D4" s="106"/>
      <c r="E4" s="168"/>
      <c r="F4" s="61"/>
      <c r="G4" s="61"/>
      <c r="H4" s="61"/>
    </row>
    <row r="5" spans="1:8">
      <c r="A5" s="61"/>
      <c r="B5" s="61"/>
      <c r="C5" s="61"/>
      <c r="D5" s="61"/>
      <c r="E5" s="61"/>
      <c r="F5" s="61"/>
      <c r="G5" s="61"/>
      <c r="H5" s="61"/>
    </row>
    <row r="6" spans="1:8">
      <c r="A6" s="89"/>
      <c r="B6" s="101"/>
      <c r="C6" s="101"/>
      <c r="D6" s="101"/>
      <c r="E6" s="101"/>
      <c r="F6" s="181" t="s">
        <v>122</v>
      </c>
      <c r="G6" s="195" t="s">
        <v>120</v>
      </c>
      <c r="H6" s="97"/>
    </row>
    <row r="7" spans="1:8">
      <c r="A7" s="178" t="s">
        <v>90</v>
      </c>
      <c r="B7" s="179"/>
      <c r="C7" s="179"/>
      <c r="D7" s="180"/>
      <c r="E7" s="97"/>
      <c r="F7" s="182" t="e">
        <f>Planilla!H40/Planilla!H41</f>
        <v>#NUM!</v>
      </c>
      <c r="G7" s="196">
        <f>IF(Planilla!H4=1,IF(Índices!F7&lt;0.9,"EXCELENTE",IF(Índices!F7&lt;1,"BUENO",IF(Índices!F7&gt;1.01,"MALO"))),IF(Planilla!H4=2,IF(Índices!F7&lt;0.8,"EXCELENTE",IF(Índices!F7&lt;0.9,"BUENO",IF(Índices!F7&gt;0.91,"MALO"))),))</f>
        <v>0</v>
      </c>
      <c r="H7" s="97"/>
    </row>
    <row r="8" spans="1:8">
      <c r="A8" s="178" t="s">
        <v>91</v>
      </c>
      <c r="B8" s="179"/>
      <c r="C8" s="179"/>
      <c r="D8" s="180"/>
      <c r="E8" s="97"/>
      <c r="F8" s="182" t="e">
        <f>Fraccionamiento!H4/Fraccionamiento!F12</f>
        <v>#NUM!</v>
      </c>
      <c r="G8" s="197" t="b">
        <f>IF(Planilla!H4=1,IF(Índices!F8&gt;0.7,"MALO",IF(Índices!F8&lt;0.7&gt;0.35,"NORMAL",IF(Índices!F8&lt;0.35,"EXCELENTE"))),IF(Planilla!H4=2,IF(Índices!F8&gt;1,"MALO",IF(Índices!F8&lt;1&gt;0.5,"NORMAL",IF(Índices!F8&lt;0.5,"EXCELENTE")))))</f>
        <v>0</v>
      </c>
      <c r="H8" s="97"/>
    </row>
    <row r="9" spans="1:8">
      <c r="A9" s="178" t="s">
        <v>92</v>
      </c>
      <c r="B9" s="179"/>
      <c r="C9" s="179"/>
      <c r="D9" s="180"/>
      <c r="E9" s="97"/>
      <c r="F9" s="182" t="e">
        <f>Planilla!H9/POWER((Planilla!H10/100),2)</f>
        <v>#NUM!</v>
      </c>
      <c r="G9" s="197" t="e">
        <f>IF(F9&lt;18.5,"BAJO PESO",IF(F9&lt;25,"NORMAL",IF(F9&lt;30,"SOBREPESO",IF(F9&lt;35,"OBESIDAD 1",IF(F9&lt;40,"OBESIDAD 2",IF(F9&gt;40,"OBESIDAD MÓRBIDA"))))))</f>
        <v>#NUM!</v>
      </c>
      <c r="H9" s="97"/>
    </row>
    <row r="10" spans="1:8">
      <c r="A10" s="178" t="s">
        <v>93</v>
      </c>
      <c r="B10" s="179"/>
      <c r="C10" s="179"/>
      <c r="D10" s="180"/>
      <c r="E10" s="97"/>
      <c r="F10" s="182" t="e">
        <f>Fraccionamiento!F12/Fraccionamiento!F8</f>
        <v>#NUM!</v>
      </c>
      <c r="G10" s="197">
        <f>IF(Planilla!H4=1,IF(Índices!F10&gt;5,"EXCELENTE",IF(Índices!F10&lt;4.99&gt;4.5,"NORMAL","MALO")),IF(Planilla!H4=2,IF(Índices!F10&gt;4,"EXCELENTE",IF(Índices!F10&lt;3.99&gt;3.5,"NORMAL","MALO")),))</f>
        <v>0</v>
      </c>
      <c r="H10" s="97"/>
    </row>
    <row r="11" spans="1:8">
      <c r="A11" s="178" t="s">
        <v>94</v>
      </c>
      <c r="B11" s="179"/>
      <c r="C11" s="179"/>
      <c r="D11" s="180"/>
      <c r="E11" s="97"/>
      <c r="F11" s="182" t="e">
        <f>(Planilla!H40/100)/(0.109*SQRT(Planilla!H9/(Planilla!H10/100)))</f>
        <v>#NUM!</v>
      </c>
      <c r="G11" s="197" t="e">
        <f>IF(F11&lt;1,"DISTRIBUCIÓN GINECOIDE","DISTRIBUCIÓN ANDROIDE")</f>
        <v>#NUM!</v>
      </c>
      <c r="H11" s="97"/>
    </row>
    <row r="12" spans="1:8">
      <c r="A12" s="178" t="s">
        <v>95</v>
      </c>
      <c r="B12" s="179"/>
      <c r="C12" s="179"/>
      <c r="D12" s="180"/>
      <c r="E12" s="97"/>
      <c r="F12" s="182" t="e">
        <f>((Planilla!H14+Planilla!H15+Planilla!H16)/Planilla!H10)*100</f>
        <v>#NUM!</v>
      </c>
      <c r="G12" s="197" t="e">
        <f>IF(F12&lt;44.9,"BRAZOS CORTOS",IF(F12&lt;46.9,"MESOBRAQUIAL",IF(F12&gt;47,"MACROBRAQUIAL")))</f>
        <v>#NUM!</v>
      </c>
      <c r="H12" s="97"/>
    </row>
    <row r="13" spans="1:8">
      <c r="A13" s="178" t="s">
        <v>96</v>
      </c>
      <c r="B13" s="179"/>
      <c r="C13" s="179"/>
      <c r="D13" s="180"/>
      <c r="E13" s="97"/>
      <c r="F13" s="182" t="e">
        <f>(Planilla!H17/Planilla!H10)*100</f>
        <v>#NUM!</v>
      </c>
      <c r="G13" s="197" t="e">
        <f>IF(F13&lt;55,"PIERNAS CORTAS",IF(F13&lt;57,"PIERNAS INTERMEDIAS",IF(F13&gt;57,"PIERNAS LARGAS")))</f>
        <v>#NUM!</v>
      </c>
      <c r="H13" s="97"/>
    </row>
    <row r="14" spans="1:8">
      <c r="A14" s="178" t="s">
        <v>97</v>
      </c>
      <c r="B14" s="179"/>
      <c r="C14" s="179"/>
      <c r="D14" s="180"/>
      <c r="E14" s="97"/>
      <c r="F14" s="182" t="e">
        <f>((Planilla!H14+Planilla!H15+Planilla!H16)/Planilla!H17)*100</f>
        <v>#NUM!</v>
      </c>
      <c r="G14" s="197" t="b">
        <f>IF(Planilla!H4=1,IF(Índices!F14=82,"DENTRO DE LA MEDIA","FUERA DE LA MEDIA"),IF(Planilla!H4=2,IF(Índices!F14=80,"DENTRO DE LA MEDIA","FUERA DE LA MEDIA")))</f>
        <v>0</v>
      </c>
      <c r="H14" s="97"/>
    </row>
    <row r="15" spans="1:8">
      <c r="A15" s="178" t="s">
        <v>98</v>
      </c>
      <c r="B15" s="179"/>
      <c r="C15" s="179"/>
      <c r="D15" s="180"/>
      <c r="E15" s="97"/>
      <c r="F15" s="182" t="e">
        <f>(Planilla!H15/Planilla!H14)*100</f>
        <v>#NUM!</v>
      </c>
      <c r="G15" s="197" t="e">
        <f>IF(F15&lt;77.9,"ANTEBRAZO CORTO",IF(F15&lt;82.9,"ANTEBRAZO MEDIO",IF(F15&gt;83,"ANTEBRAZO LARGO")))</f>
        <v>#NUM!</v>
      </c>
      <c r="H15" s="97"/>
    </row>
    <row r="16" spans="1:8">
      <c r="A16" s="178" t="s">
        <v>99</v>
      </c>
      <c r="B16" s="179"/>
      <c r="C16" s="179"/>
      <c r="D16" s="180"/>
      <c r="E16" s="97"/>
      <c r="F16" s="182" t="e">
        <f>(Planilla!H21/Planilla!H19)*100</f>
        <v>#NUM!</v>
      </c>
      <c r="G16" s="197" t="s">
        <v>121</v>
      </c>
      <c r="H16" s="97"/>
    </row>
    <row r="17" spans="1:8">
      <c r="A17" s="178" t="s">
        <v>100</v>
      </c>
      <c r="B17" s="179"/>
      <c r="C17" s="179"/>
      <c r="D17" s="180"/>
      <c r="E17" s="97"/>
      <c r="F17" s="182" t="e">
        <f>(Planilla!H11/Planilla!H10)*100</f>
        <v>#NUM!</v>
      </c>
      <c r="G17" s="197" t="b">
        <f>IF(Planilla!H4=1,IF(Índices!F17&lt;51,"TRONCO CORTO",IF(Índices!F17&lt;53,"TRONCO MEDIO",IF(Índices!F17&gt;53.1,"TRONCO LARGO"))),IF(Planilla!H4=2,IF(Índices!F17&lt;52,"TRONCO CORTO",IF(Índices!F17&lt;54,"TRONCO MEDIO",IF(Índices!F17&gt;54.1,"TRONCO LARGO")))))</f>
        <v>0</v>
      </c>
      <c r="H17" s="97"/>
    </row>
    <row r="18" spans="1:8">
      <c r="A18" s="178" t="s">
        <v>101</v>
      </c>
      <c r="B18" s="179"/>
      <c r="C18" s="179"/>
      <c r="D18" s="180"/>
      <c r="E18" s="97"/>
      <c r="F18" s="182" t="e">
        <f>((Planilla!H10-Planilla!H11)/Planilla!H11)*100</f>
        <v>#NUM!</v>
      </c>
      <c r="G18" s="197" t="e">
        <f>IF(F18&lt;84.9,"PIERNAS CORTAS",IF(F18&lt;89.9,"PIERNAS MEDIAS",IF(F18&gt;=90,"PIERNAS LARGAS")))</f>
        <v>#NUM!</v>
      </c>
      <c r="H18" s="97"/>
    </row>
    <row r="19" spans="1:8">
      <c r="A19" s="178" t="s">
        <v>102</v>
      </c>
      <c r="B19" s="179"/>
      <c r="C19" s="179"/>
      <c r="D19" s="180"/>
      <c r="E19" s="97"/>
      <c r="F19" s="182" t="e">
        <f>(Planilla!H25/Planilla!H24)*100</f>
        <v>#NUM!</v>
      </c>
      <c r="G19" s="197" t="e">
        <f>IF(F19&lt;69.9,"TIPO TRAPEZOIDAL",IF(F19&lt;74.9,"TIPO INTERMEDIO",IF(F19&gt;75,"TIPO RECTANGULAR")))</f>
        <v>#NUM!</v>
      </c>
      <c r="H19" s="97"/>
    </row>
    <row r="20" spans="1:8">
      <c r="A20" s="178" t="s">
        <v>103</v>
      </c>
      <c r="B20" s="179"/>
      <c r="C20" s="179"/>
      <c r="D20" s="180"/>
      <c r="E20" s="97"/>
      <c r="F20" s="182" t="e">
        <f>(Planilla!H12/Planilla!H10)*100</f>
        <v>#NUM!</v>
      </c>
      <c r="G20" s="197" t="e">
        <f>IF(F20&lt;99.9,"ENVERGADURA MENOR",IF(F20=100,"ENVERGADURA IGUAL",IF(F20&gt;100,"ENVERGADURA MAYOR")))</f>
        <v>#NUM!</v>
      </c>
      <c r="H20" s="97"/>
    </row>
    <row r="21" spans="1:8">
      <c r="A21" s="101"/>
      <c r="B21" s="101"/>
      <c r="C21" s="101"/>
      <c r="D21" s="101"/>
      <c r="E21" s="101"/>
      <c r="F21" s="101"/>
      <c r="G21" s="101"/>
      <c r="H21" s="89"/>
    </row>
    <row r="22" spans="1:8">
      <c r="A22" s="52"/>
      <c r="B22" s="62"/>
      <c r="C22" s="62"/>
      <c r="D22" s="62"/>
      <c r="E22" s="61"/>
      <c r="F22" s="61"/>
      <c r="G22" s="67"/>
      <c r="H22" s="61"/>
    </row>
    <row r="23" spans="1:8">
      <c r="A23" s="52"/>
      <c r="B23" s="52"/>
      <c r="C23" s="52"/>
      <c r="D23" s="52"/>
      <c r="E23" s="52"/>
      <c r="F23" s="52"/>
      <c r="G23" s="52"/>
      <c r="H23" s="61"/>
    </row>
    <row r="24" spans="1:8">
      <c r="A24" s="52"/>
      <c r="B24" s="62"/>
      <c r="C24" s="62"/>
      <c r="D24" s="62"/>
      <c r="E24" s="61"/>
      <c r="F24" s="61"/>
      <c r="G24" s="67"/>
      <c r="H24" s="61"/>
    </row>
    <row r="25" spans="1:8" ht="15">
      <c r="A25" s="169"/>
      <c r="B25" s="169"/>
      <c r="C25" s="169"/>
      <c r="D25" s="169"/>
      <c r="E25" s="169"/>
      <c r="F25" s="169"/>
      <c r="G25" s="169"/>
      <c r="H25" s="81"/>
    </row>
    <row r="26" spans="1:8" ht="15.75">
      <c r="A26" s="169"/>
      <c r="B26" s="170"/>
      <c r="C26" s="170"/>
      <c r="D26" s="171" t="s">
        <v>104</v>
      </c>
      <c r="E26" s="170"/>
      <c r="F26" s="170"/>
      <c r="G26" s="184" t="s">
        <v>132</v>
      </c>
      <c r="H26" s="183"/>
    </row>
    <row r="27" spans="1:8">
      <c r="A27" s="52"/>
      <c r="B27" s="52"/>
      <c r="C27" s="52"/>
      <c r="E27" s="52"/>
      <c r="F27" s="52"/>
      <c r="G27" s="52"/>
      <c r="H27" s="52"/>
    </row>
    <row r="28" spans="1:8">
      <c r="A28" s="172" t="s">
        <v>443</v>
      </c>
      <c r="B28" s="173"/>
      <c r="C28" s="173"/>
      <c r="D28" s="173"/>
      <c r="E28" s="173"/>
      <c r="F28" s="173"/>
      <c r="G28" s="173"/>
      <c r="H28" s="173"/>
    </row>
    <row r="29" spans="1:8">
      <c r="A29" s="185" t="s">
        <v>426</v>
      </c>
      <c r="B29" s="152"/>
      <c r="C29" s="152"/>
      <c r="D29" s="152"/>
      <c r="E29" s="157"/>
      <c r="F29" s="157"/>
      <c r="G29" s="186"/>
      <c r="H29" s="174"/>
    </row>
    <row r="30" spans="1:8">
      <c r="A30" s="187" t="s">
        <v>123</v>
      </c>
      <c r="B30" s="188"/>
      <c r="C30" s="188"/>
      <c r="D30" s="188"/>
      <c r="E30" s="188"/>
      <c r="F30" s="188"/>
      <c r="G30" s="188"/>
      <c r="H30" s="177"/>
    </row>
    <row r="31" spans="1:8">
      <c r="A31" s="185" t="s">
        <v>427</v>
      </c>
      <c r="B31" s="152"/>
      <c r="C31" s="152"/>
      <c r="D31" s="152"/>
      <c r="E31" s="157"/>
      <c r="F31" s="157"/>
      <c r="G31" s="186"/>
      <c r="H31" s="174"/>
    </row>
    <row r="32" spans="1:8">
      <c r="A32" s="189" t="s">
        <v>124</v>
      </c>
      <c r="B32" s="190"/>
      <c r="C32" s="190"/>
      <c r="D32" s="190"/>
      <c r="E32" s="190"/>
      <c r="F32" s="190"/>
      <c r="G32" s="190"/>
      <c r="H32" s="175"/>
    </row>
    <row r="33" spans="1:8">
      <c r="A33" s="187" t="s">
        <v>125</v>
      </c>
      <c r="B33" s="176"/>
      <c r="C33" s="176"/>
      <c r="D33" s="176"/>
      <c r="E33" s="159"/>
      <c r="F33" s="159"/>
      <c r="G33" s="191"/>
      <c r="H33" s="177"/>
    </row>
    <row r="34" spans="1:8">
      <c r="A34" s="185" t="s">
        <v>428</v>
      </c>
      <c r="B34" s="192"/>
      <c r="C34" s="192"/>
      <c r="D34" s="192"/>
      <c r="E34" s="192"/>
      <c r="F34" s="192"/>
      <c r="G34" s="192"/>
      <c r="H34" s="174"/>
    </row>
    <row r="35" spans="1:8">
      <c r="A35" s="187" t="s">
        <v>126</v>
      </c>
      <c r="B35" s="176"/>
      <c r="C35" s="176"/>
      <c r="D35" s="176"/>
      <c r="E35" s="159"/>
      <c r="F35" s="159"/>
      <c r="G35" s="191"/>
      <c r="H35" s="177"/>
    </row>
    <row r="36" spans="1:8">
      <c r="A36" s="185" t="s">
        <v>429</v>
      </c>
      <c r="B36" s="192"/>
      <c r="C36" s="192"/>
      <c r="D36" s="192"/>
      <c r="E36" s="192"/>
      <c r="F36" s="192"/>
      <c r="G36" s="192"/>
      <c r="H36" s="174"/>
    </row>
    <row r="37" spans="1:8">
      <c r="A37" s="187" t="s">
        <v>127</v>
      </c>
      <c r="B37" s="176"/>
      <c r="C37" s="176"/>
      <c r="D37" s="176"/>
      <c r="E37" s="159"/>
      <c r="F37" s="159"/>
      <c r="G37" s="191"/>
      <c r="H37" s="177"/>
    </row>
    <row r="38" spans="1:8">
      <c r="A38" s="185" t="s">
        <v>430</v>
      </c>
      <c r="B38" s="192"/>
      <c r="C38" s="192"/>
      <c r="D38" s="192"/>
      <c r="E38" s="192"/>
      <c r="F38" s="192"/>
      <c r="G38" s="192"/>
      <c r="H38" s="174"/>
    </row>
    <row r="39" spans="1:8">
      <c r="A39" s="158" t="s">
        <v>128</v>
      </c>
      <c r="B39" s="159"/>
      <c r="C39" s="159"/>
      <c r="D39" s="159"/>
      <c r="E39" s="159"/>
      <c r="F39" s="159"/>
      <c r="G39" s="159"/>
      <c r="H39" s="177"/>
    </row>
    <row r="40" spans="1:8">
      <c r="A40" s="178" t="s">
        <v>431</v>
      </c>
      <c r="B40" s="180"/>
      <c r="C40" s="180"/>
      <c r="D40" s="180"/>
      <c r="E40" s="180"/>
      <c r="F40" s="180"/>
      <c r="G40" s="180"/>
      <c r="H40" s="97"/>
    </row>
    <row r="41" spans="1:8">
      <c r="A41" s="151" t="s">
        <v>432</v>
      </c>
      <c r="B41" s="157"/>
      <c r="C41" s="157"/>
      <c r="D41" s="157"/>
      <c r="E41" s="157"/>
      <c r="F41" s="157"/>
      <c r="G41" s="157"/>
      <c r="H41" s="174"/>
    </row>
    <row r="42" spans="1:8">
      <c r="A42" s="158" t="s">
        <v>129</v>
      </c>
      <c r="B42" s="159"/>
      <c r="C42" s="159"/>
      <c r="D42" s="159"/>
      <c r="E42" s="159"/>
      <c r="F42" s="159"/>
      <c r="G42" s="159"/>
      <c r="H42" s="177"/>
    </row>
    <row r="43" spans="1:8">
      <c r="A43" s="151" t="s">
        <v>433</v>
      </c>
      <c r="B43" s="157"/>
      <c r="C43" s="157"/>
      <c r="D43" s="157"/>
      <c r="E43" s="157"/>
      <c r="F43" s="157"/>
      <c r="G43" s="157"/>
      <c r="H43" s="174"/>
    </row>
    <row r="44" spans="1:8">
      <c r="A44" s="158" t="s">
        <v>130</v>
      </c>
      <c r="B44" s="159"/>
      <c r="C44" s="159"/>
      <c r="D44" s="159"/>
      <c r="E44" s="159"/>
      <c r="F44" s="159"/>
      <c r="G44" s="159"/>
      <c r="H44" s="177"/>
    </row>
    <row r="45" spans="1:8">
      <c r="A45" s="151" t="s">
        <v>434</v>
      </c>
      <c r="B45" s="157"/>
      <c r="C45" s="157"/>
      <c r="D45" s="157"/>
      <c r="E45" s="157"/>
      <c r="F45" s="157"/>
      <c r="G45" s="157"/>
      <c r="H45" s="174"/>
    </row>
    <row r="46" spans="1:8">
      <c r="A46" s="158" t="s">
        <v>131</v>
      </c>
      <c r="B46" s="159"/>
      <c r="C46" s="159"/>
      <c r="D46" s="159"/>
      <c r="E46" s="159"/>
      <c r="F46" s="159"/>
      <c r="G46" s="159"/>
      <c r="H46" s="177"/>
    </row>
    <row r="47" spans="1:8">
      <c r="A47" s="151" t="s">
        <v>435</v>
      </c>
      <c r="B47" s="157"/>
      <c r="C47" s="157"/>
      <c r="D47" s="157"/>
      <c r="E47" s="157"/>
      <c r="F47" s="157"/>
      <c r="G47" s="157"/>
      <c r="H47" s="174"/>
    </row>
    <row r="48" spans="1:8">
      <c r="A48" s="158" t="s">
        <v>131</v>
      </c>
      <c r="B48" s="159"/>
      <c r="C48" s="159"/>
      <c r="D48" s="159"/>
      <c r="E48" s="159"/>
      <c r="F48" s="159"/>
      <c r="G48" s="159"/>
      <c r="H48" s="177"/>
    </row>
    <row r="49" spans="1:8">
      <c r="A49" s="178" t="s">
        <v>436</v>
      </c>
      <c r="B49" s="180"/>
      <c r="C49" s="180"/>
      <c r="D49" s="180"/>
      <c r="E49" s="180"/>
      <c r="F49" s="180"/>
      <c r="G49" s="180"/>
      <c r="H49" s="97"/>
    </row>
    <row r="50" spans="1:8">
      <c r="A50" s="178" t="s">
        <v>437</v>
      </c>
      <c r="B50" s="180"/>
      <c r="C50" s="180"/>
      <c r="D50" s="180"/>
      <c r="E50" s="180"/>
      <c r="F50" s="180"/>
      <c r="G50" s="180"/>
      <c r="H50" s="97"/>
    </row>
    <row r="51" spans="1:8">
      <c r="A51" s="178" t="s">
        <v>438</v>
      </c>
      <c r="B51" s="180"/>
      <c r="C51" s="180"/>
      <c r="D51" s="180"/>
      <c r="E51" s="180"/>
      <c r="F51" s="180"/>
      <c r="G51" s="180"/>
      <c r="H51" s="97"/>
    </row>
    <row r="52" spans="1:8">
      <c r="A52" s="178" t="s">
        <v>439</v>
      </c>
      <c r="B52" s="180"/>
      <c r="C52" s="180"/>
      <c r="D52" s="180"/>
      <c r="E52" s="180"/>
      <c r="F52" s="180"/>
      <c r="G52" s="180"/>
      <c r="H52" s="97"/>
    </row>
    <row r="53" spans="1:8">
      <c r="A53" s="178" t="s">
        <v>440</v>
      </c>
      <c r="B53" s="180"/>
      <c r="C53" s="180"/>
      <c r="D53" s="180"/>
      <c r="E53" s="180"/>
      <c r="F53" s="180"/>
      <c r="G53" s="180"/>
      <c r="H53" s="97"/>
    </row>
    <row r="54" spans="1:8">
      <c r="A54" s="178" t="s">
        <v>441</v>
      </c>
      <c r="B54" s="180"/>
      <c r="C54" s="180"/>
      <c r="D54" s="180"/>
      <c r="E54" s="180"/>
      <c r="F54" s="180"/>
      <c r="G54" s="180"/>
      <c r="H54" s="97"/>
    </row>
    <row r="55" spans="1:8">
      <c r="A55" s="178" t="s">
        <v>442</v>
      </c>
      <c r="B55" s="180"/>
      <c r="C55" s="180"/>
      <c r="D55" s="180"/>
      <c r="E55" s="180"/>
      <c r="F55" s="180"/>
      <c r="G55" s="180"/>
      <c r="H55" s="97"/>
    </row>
    <row r="56" spans="1:8">
      <c r="A56" s="90"/>
      <c r="B56" s="90"/>
      <c r="C56" s="90"/>
      <c r="D56" s="90"/>
      <c r="E56" s="90"/>
      <c r="F56" s="90"/>
      <c r="G56" s="90"/>
      <c r="H56" s="90"/>
    </row>
    <row r="57" spans="1:8">
      <c r="A57" s="89"/>
      <c r="B57" s="89"/>
      <c r="C57" s="89"/>
      <c r="D57" s="89"/>
      <c r="E57" s="89"/>
      <c r="F57" s="89"/>
      <c r="G57" s="89"/>
      <c r="H57" s="89"/>
    </row>
    <row r="58" spans="1:8">
      <c r="A58" s="193"/>
      <c r="B58" s="193"/>
      <c r="C58" s="193"/>
      <c r="D58" s="193"/>
      <c r="E58" s="193"/>
      <c r="F58" s="193"/>
      <c r="G58" s="193"/>
      <c r="H58" s="193"/>
    </row>
    <row r="59" spans="1:8">
      <c r="A59" s="194"/>
      <c r="B59" s="194"/>
      <c r="C59" s="194"/>
      <c r="D59" s="194"/>
      <c r="E59" s="194"/>
      <c r="F59" s="194"/>
      <c r="G59" s="194"/>
      <c r="H59" s="194"/>
    </row>
    <row r="60" spans="1:8">
      <c r="A60" s="38"/>
      <c r="B60" s="38"/>
      <c r="C60" s="38"/>
      <c r="D60" s="38"/>
      <c r="E60" s="38"/>
      <c r="F60" s="38"/>
      <c r="G60" s="38"/>
      <c r="H60" s="38"/>
    </row>
    <row r="61" spans="1:8">
      <c r="A61" s="38"/>
      <c r="B61" s="38"/>
      <c r="C61" s="38"/>
      <c r="D61" s="38"/>
      <c r="E61" s="38"/>
      <c r="F61" s="38"/>
      <c r="G61" s="38"/>
      <c r="H61" s="38"/>
    </row>
    <row r="62" spans="1:8">
      <c r="A62" s="38"/>
      <c r="B62" s="38"/>
      <c r="C62" s="38"/>
      <c r="D62" s="38"/>
      <c r="E62" s="38"/>
      <c r="F62" s="38"/>
      <c r="G62" s="38"/>
      <c r="H62" s="38"/>
    </row>
  </sheetData>
  <sheetProtection password="962F" sheet="1" objects="1" scenarios="1"/>
  <phoneticPr fontId="0" type="noConversion"/>
  <hyperlinks>
    <hyperlink ref="A1" location="Presentación!A1" tooltip="Pantalla Principal" display="PRESENTACIÓN"/>
    <hyperlink ref="B1" location="Planilla!A1" tooltip="Planilla Antropométrica Básica" display="PLANILLA"/>
    <hyperlink ref="C1:D1" location="Fraccionamiento!A1" display="FRACCIONAMIENTO"/>
    <hyperlink ref="E1" location="Somatotipo!A1" tooltip="Ir a la pantalla Somatotipo" display="SOMATOTIPO"/>
    <hyperlink ref="F1:G1" location="Proporcionalidad!A1" display="PROPORCIONALIDAD"/>
    <hyperlink ref="H1" location="Índices!A47" tooltip="Pantalla de Referencias" display="REFERENCIAS"/>
    <hyperlink ref="G26:H26" location="Índices!A58" display="MÁS REFERENCIAS"/>
    <hyperlink ref="C1" location="Fraccionamiento!A1" tooltip="Ir a la pantalla Fraccionamiento" display="FRACCIONAMIENTO"/>
    <hyperlink ref="F1" location="Proporcionalidad!A1" tooltip="Ir a la pantalla Proporcionalidad" display="PROPORCIONALIDAD"/>
    <hyperlink ref="G26" location="Índices!A58" tooltip="Otras Referencias" display="MÁS REFERENCIAS"/>
  </hyperlinks>
  <pageMargins left="0.59055118110236227" right="0.19685039370078741" top="0.39370078740157483" bottom="0.39370078740157483" header="0" footer="0"/>
  <pageSetup paperSize="9" orientation="portrait" horizontalDpi="4294967293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Presentación</vt:lpstr>
      <vt:lpstr>Planilla</vt:lpstr>
      <vt:lpstr>Fraccionamiento</vt:lpstr>
      <vt:lpstr>Somatotipo</vt:lpstr>
      <vt:lpstr>Proporcionalidad</vt:lpstr>
      <vt:lpstr>Índices</vt:lpstr>
      <vt:lpstr>Somatotipo!Área_de_impresión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ARCODIA</dc:creator>
  <cp:lastModifiedBy>pepe</cp:lastModifiedBy>
  <cp:lastPrinted>2009-12-26T23:21:26Z</cp:lastPrinted>
  <dcterms:created xsi:type="dcterms:W3CDTF">2002-02-03T16:43:53Z</dcterms:created>
  <dcterms:modified xsi:type="dcterms:W3CDTF">2009-12-26T23:23:18Z</dcterms:modified>
</cp:coreProperties>
</file>